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A3155F7-471C-4AC0-9A59-F42DDAA872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Parametros" sheetId="3" r:id="rId3"/>
    <sheet name="04 Proyeccion" sheetId="4" r:id="rId4"/>
    <sheet name="05 Escenarios" sheetId="5" r:id="rId5"/>
    <sheet name="06 Resultado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5" l="1"/>
  <c r="D11" i="5"/>
  <c r="C11" i="5"/>
  <c r="E10" i="5"/>
  <c r="D10" i="5"/>
  <c r="C10" i="5"/>
  <c r="D9" i="5"/>
  <c r="D8" i="5"/>
  <c r="C15" i="3"/>
  <c r="B17" i="4" l="1"/>
  <c r="B29" i="4"/>
  <c r="C15" i="5"/>
  <c r="B24" i="4"/>
  <c r="D15" i="5"/>
  <c r="B19" i="4"/>
  <c r="B31" i="4"/>
  <c r="E15" i="5"/>
  <c r="B28" i="4"/>
  <c r="C16" i="3"/>
  <c r="F12" i="4"/>
  <c r="B13" i="4"/>
  <c r="B20" i="4"/>
  <c r="B15" i="4"/>
  <c r="B27" i="4"/>
  <c r="B14" i="4"/>
  <c r="B26" i="4"/>
  <c r="B16" i="4"/>
  <c r="B30" i="4"/>
  <c r="B25" i="4"/>
  <c r="B32" i="4"/>
  <c r="B22" i="4"/>
  <c r="B21" i="4"/>
  <c r="B23" i="4"/>
  <c r="B18" i="4"/>
  <c r="N9" i="6"/>
  <c r="E18" i="5" l="1"/>
  <c r="D18" i="5"/>
  <c r="C25" i="4"/>
  <c r="B39" i="5"/>
  <c r="D39" i="5" s="1"/>
  <c r="B44" i="5"/>
  <c r="D44" i="5" s="1"/>
  <c r="C30" i="4"/>
  <c r="C31" i="4"/>
  <c r="B45" i="5"/>
  <c r="D45" i="5" s="1"/>
  <c r="B40" i="5"/>
  <c r="D40" i="5" s="1"/>
  <c r="C26" i="4"/>
  <c r="C19" i="4"/>
  <c r="B33" i="5"/>
  <c r="C14" i="4"/>
  <c r="B28" i="5"/>
  <c r="B38" i="5"/>
  <c r="D38" i="5" s="1"/>
  <c r="C24" i="4"/>
  <c r="C21" i="4"/>
  <c r="B35" i="5"/>
  <c r="C27" i="4"/>
  <c r="B41" i="5"/>
  <c r="D41" i="5" s="1"/>
  <c r="C18" i="5"/>
  <c r="B46" i="5"/>
  <c r="D46" i="5" s="1"/>
  <c r="C32" i="4"/>
  <c r="B32" i="5"/>
  <c r="E32" i="5" s="1"/>
  <c r="C18" i="4"/>
  <c r="B43" i="5"/>
  <c r="D43" i="5" s="1"/>
  <c r="C29" i="4"/>
  <c r="B42" i="5"/>
  <c r="D42" i="5" s="1"/>
  <c r="C28" i="4"/>
  <c r="C16" i="4"/>
  <c r="B30" i="5"/>
  <c r="E30" i="5" s="1"/>
  <c r="B37" i="5"/>
  <c r="D37" i="5" s="1"/>
  <c r="C23" i="4"/>
  <c r="C15" i="4"/>
  <c r="B29" i="5"/>
  <c r="B36" i="5"/>
  <c r="E36" i="5" s="1"/>
  <c r="E16" i="5" s="1"/>
  <c r="E17" i="5" s="1"/>
  <c r="C22" i="4"/>
  <c r="B34" i="5"/>
  <c r="C34" i="5" s="1"/>
  <c r="C20" i="4"/>
  <c r="B31" i="5"/>
  <c r="E31" i="5" s="1"/>
  <c r="C17" i="4"/>
  <c r="B27" i="5"/>
  <c r="C27" i="5" s="1"/>
  <c r="C13" i="4"/>
  <c r="B12" i="6"/>
  <c r="D35" i="5" l="1"/>
  <c r="C30" i="5"/>
  <c r="E40" i="5"/>
  <c r="D29" i="5"/>
  <c r="D33" i="5"/>
  <c r="E45" i="5"/>
  <c r="C44" i="5"/>
  <c r="E39" i="5"/>
  <c r="C35" i="5"/>
  <c r="E46" i="5"/>
  <c r="C39" i="5"/>
  <c r="C46" i="5"/>
  <c r="E27" i="5"/>
  <c r="C38" i="5"/>
  <c r="E29" i="5"/>
  <c r="E35" i="5"/>
  <c r="C45" i="5"/>
  <c r="E38" i="5"/>
  <c r="C40" i="5"/>
  <c r="E44" i="5"/>
  <c r="C29" i="5"/>
  <c r="D28" i="5"/>
  <c r="F17" i="4"/>
  <c r="E17" i="4"/>
  <c r="D17" i="4"/>
  <c r="D14" i="4"/>
  <c r="E14" i="4"/>
  <c r="F14" i="4"/>
  <c r="F29" i="4"/>
  <c r="E29" i="4"/>
  <c r="D29" i="4"/>
  <c r="D19" i="4"/>
  <c r="F19" i="4"/>
  <c r="E19" i="4"/>
  <c r="F18" i="4"/>
  <c r="D18" i="4"/>
  <c r="E18" i="4"/>
  <c r="E41" i="5"/>
  <c r="F23" i="4"/>
  <c r="E23" i="4"/>
  <c r="D23" i="4"/>
  <c r="F21" i="4"/>
  <c r="E21" i="4"/>
  <c r="D21" i="4"/>
  <c r="E28" i="5"/>
  <c r="C28" i="5"/>
  <c r="E43" i="5"/>
  <c r="D32" i="5"/>
  <c r="E33" i="5"/>
  <c r="F31" i="4"/>
  <c r="E31" i="4"/>
  <c r="D31" i="4"/>
  <c r="F30" i="4"/>
  <c r="D30" i="4"/>
  <c r="E30" i="4"/>
  <c r="E13" i="4"/>
  <c r="D13" i="4"/>
  <c r="F13" i="4"/>
  <c r="D30" i="5"/>
  <c r="C33" i="5"/>
  <c r="C37" i="5"/>
  <c r="E24" i="4"/>
  <c r="D24" i="4"/>
  <c r="F24" i="4"/>
  <c r="E42" i="5"/>
  <c r="D28" i="4"/>
  <c r="F28" i="4"/>
  <c r="E28" i="4"/>
  <c r="D31" i="5"/>
  <c r="C42" i="5"/>
  <c r="E20" i="4"/>
  <c r="D20" i="4"/>
  <c r="F20" i="4"/>
  <c r="D34" i="5"/>
  <c r="F22" i="4"/>
  <c r="E22" i="4"/>
  <c r="E9" i="6" s="1"/>
  <c r="D22" i="4"/>
  <c r="B9" i="6"/>
  <c r="E26" i="4"/>
  <c r="F26" i="4"/>
  <c r="D26" i="4"/>
  <c r="D36" i="5"/>
  <c r="D16" i="5" s="1"/>
  <c r="D17" i="5" s="1"/>
  <c r="C32" i="5"/>
  <c r="E32" i="4"/>
  <c r="D32" i="4"/>
  <c r="F32" i="4"/>
  <c r="D15" i="4"/>
  <c r="F15" i="4"/>
  <c r="E15" i="4"/>
  <c r="C41" i="5"/>
  <c r="D27" i="4"/>
  <c r="F27" i="4"/>
  <c r="E27" i="4"/>
  <c r="C31" i="5"/>
  <c r="D27" i="5"/>
  <c r="E16" i="4"/>
  <c r="D16" i="4"/>
  <c r="F16" i="4"/>
  <c r="C36" i="5"/>
  <c r="C16" i="5" s="1"/>
  <c r="C17" i="5" s="1"/>
  <c r="C43" i="5"/>
  <c r="E25" i="4"/>
  <c r="D25" i="4"/>
  <c r="F25" i="4"/>
  <c r="E34" i="5"/>
  <c r="E37" i="5"/>
  <c r="G21" i="4" l="1"/>
  <c r="H21" i="4"/>
  <c r="H19" i="4"/>
  <c r="G19" i="4"/>
  <c r="G29" i="4"/>
  <c r="H29" i="4"/>
  <c r="H28" i="4"/>
  <c r="G28" i="4"/>
  <c r="H24" i="4"/>
  <c r="G24" i="4"/>
  <c r="H14" i="4"/>
  <c r="G14" i="4"/>
  <c r="H31" i="4"/>
  <c r="G31" i="4"/>
  <c r="H15" i="4"/>
  <c r="G15" i="4"/>
  <c r="H16" i="4"/>
  <c r="G16" i="4"/>
  <c r="H17" i="4"/>
  <c r="G17" i="4"/>
  <c r="G22" i="4"/>
  <c r="H22" i="4"/>
  <c r="H23" i="4"/>
  <c r="G23" i="4"/>
  <c r="H20" i="4"/>
  <c r="G20" i="4"/>
  <c r="H18" i="4"/>
  <c r="G18" i="4"/>
  <c r="G26" i="4"/>
  <c r="H26" i="4"/>
  <c r="H13" i="4"/>
  <c r="G13" i="4"/>
  <c r="K9" i="6"/>
  <c r="H9" i="6"/>
  <c r="H27" i="4"/>
  <c r="G27" i="4"/>
  <c r="H25" i="4"/>
  <c r="G25" i="4"/>
  <c r="H30" i="4"/>
  <c r="G30" i="4"/>
  <c r="H32" i="4"/>
  <c r="G32" i="4"/>
</calcChain>
</file>

<file path=xl/sharedStrings.xml><?xml version="1.0" encoding="utf-8"?>
<sst xmlns="http://schemas.openxmlformats.org/spreadsheetml/2006/main" count="156" uniqueCount="135">
  <si>
    <t>MODELO BASS | GUÍA DE USO</t>
  </si>
  <si>
    <t>Guía de uso · Modelo Bass de difusión · Ejemplo didáctico reemplazable</t>
  </si>
  <si>
    <t>INICIO RÁPIDO · 6 PASOS</t>
  </si>
  <si>
    <t>01 · OBJETIVO</t>
  </si>
  <si>
    <t>Proyectar la adopción inicial de un producto mediante el modelo Bass, observar nuevos adoptantes y acumulados, y comparar tres escenarios.</t>
  </si>
  <si>
    <t>Hoja 06 · Panel</t>
  </si>
  <si>
    <t>02 · DEFINE TU MERCADO</t>
  </si>
  <si>
    <t>Abre «03 Parametros». Sustituye el ejemplo: mercado potencial m, coeficiente p, coeficiente q, horizonte en años y nombre de producto.</t>
  </si>
  <si>
    <t>03 Parametros</t>
  </si>
  <si>
    <t>03 · USA EL EJEMPLO</t>
  </si>
  <si>
    <t>El caso precargado es un dispositivo tecnológico para 10.000 comercios. Para usar tus datos, reemplaza los valores amarillos, sin agregar ni duplicar hojas.</t>
  </si>
  <si>
    <t>Amarillo = editable</t>
  </si>
  <si>
    <t>04 · REVISA LA PROYECCIÓN</t>
  </si>
  <si>
    <t>«04 Proyeccion» calcula cada año de forma automática. El año 0 es la situación inicial, no un año con compras. Hasta 20 años como máximo.</t>
  </si>
  <si>
    <t>04 Proyeccion</t>
  </si>
  <si>
    <t>05 · COMPARA ESCENARIOS</t>
  </si>
  <si>
    <t>«05 Escenarios» incluye uno lento, uno base vinculado a Parámetros y uno rápido. Solo edita p y q amarillos de los extremos.</t>
  </si>
  <si>
    <t>05 Escenarios</t>
  </si>
  <si>
    <t>06 · LEE LOS RESULTADOS</t>
  </si>
  <si>
    <t>Consulta «06 Resultados»: indicadores y gráficos. Las cifras son adoptantes estimados; no equivalen automáticamente a ventas ni ingresos.</t>
  </si>
  <si>
    <t>06 Resultados</t>
  </si>
  <si>
    <t>REGLAS DE CAPTURA Y LECTURA</t>
  </si>
  <si>
    <t>• Solo edita las celdas amarillas. Las celdas azules y blancas contienen fórmulas y resultados; no borres esas fórmulas.</t>
  </si>
  <si>
    <t>• Los coeficientes p y q se expresan en unidades anuales. Si tus datos son mensuales, reestima parámetros por mes; cambiar el nombre del periodo no basta.</t>
  </si>
  <si>
    <t>• p debe ser mayor que cero, q no puede ser negativo y el mercado m debe ser un entero positivo. Horizonte: 1 a 20 años.</t>
  </si>
  <si>
    <t>• LISTO indica captura completa y en rango, no pronóstico fiable. Si aparece REVISAR, corrige las celdas amarillas de 03 o 05.</t>
  </si>
  <si>
    <t>• Cuando falten datos históricos, usa escenarios exploratorios y documenta por qué elegiste los parámetros.</t>
  </si>
  <si>
    <t>• No confundas adopción con ventas anuales, ingresos, clientes recurrentes ni participación capturada por tu empresa.</t>
  </si>
  <si>
    <t>• Guarda una copia limpia antes de sustituir el ejemplo. Para empezar otro análisis, reemplaza los datos existentes: NO agregues nuevas hojas.</t>
  </si>
  <si>
    <t>BASE MATEMÁTICA Y ALCANCE</t>
  </si>
  <si>
    <t>Se utiliza la solución continua clásica de Bass con N(0)=0: N(t)=m×(1−EXP(−(p+q)×t))/(1+(q/p)×EXP(−(p+q)×t)). Nuevos adoptantes por año = N(t)−N(t−1). Se mantienen p, q y m constantes.</t>
  </si>
  <si>
    <t>FUENTE · Bass, F. M. (1969). A New Product Growth for Model Consumer Durables. Management Science, 15(5), 215–227. https://doi.org/10.1287/mnsc.15.5.215</t>
  </si>
  <si>
    <t>MODELO BASS | GLOSARIO</t>
  </si>
  <si>
    <t>Definiciones claras para interpretar parámetros, curvas y resultados</t>
  </si>
  <si>
    <t>TÉRMINO</t>
  </si>
  <si>
    <t>QUÉ SIGNIFICA / CÓMO INTERPRETARLO</t>
  </si>
  <si>
    <t>Modelo Bass</t>
  </si>
  <si>
    <t>Modelo matemático de difusión de nuevos productos. Proyecta primeras adopciones a partir de innovación e imitación.</t>
  </si>
  <si>
    <t>Mercado potencial (m)</t>
  </si>
  <si>
    <t>Máximo de adoptantes elegibles considerado en el modelo; no es necesariamente la población total.</t>
  </si>
  <si>
    <t>Innovación (p)</t>
  </si>
  <si>
    <t>Coeficiente positivo de influencia externa, independiente del número de adoptantes anteriores.</t>
  </si>
  <si>
    <t>Imitación (q)</t>
  </si>
  <si>
    <t>Coeficiente no negativo que representa la influencia de adoptantes previos sobre personas aún no adoptantes.</t>
  </si>
  <si>
    <t>Tiempo (t)</t>
  </si>
  <si>
    <t>Número de años transcurridos desde el inicio de la difusión en esta plantilla.</t>
  </si>
  <si>
    <t>Horizonte</t>
  </si>
  <si>
    <t>Cantidad de años que se desean mostrar y evaluar; permite entre 1 y 20.</t>
  </si>
  <si>
    <t>N(t)</t>
  </si>
  <si>
    <t>Cantidad acumulada estimada de adoptantes desde el inicio hasta el final del año t.</t>
  </si>
  <si>
    <t>Nuevos adoptantes</t>
  </si>
  <si>
    <t>Diferencia entre el N(t) de un año y el del año anterior; no son recompras.</t>
  </si>
  <si>
    <t>Penetración</t>
  </si>
  <si>
    <t>Porcentaje del mercado potencial que ya adoptó: N(t) dividido entre m.</t>
  </si>
  <si>
    <t>Sin adoptar</t>
  </si>
  <si>
    <t>Diferencia entre el mercado potencial m y el total acumulado N(t).</t>
  </si>
  <si>
    <t>Máximo anual</t>
  </si>
  <si>
    <t>Año con la mayor cantidad de nuevos adoptantes entre los periodos calculados.</t>
  </si>
  <si>
    <t>Pico continuo (t*)</t>
  </si>
  <si>
    <t>Instante de máxima tasa de adopción en la formulación continua. Si q es menor o igual que p, el máximo ocurre al inicio.</t>
  </si>
  <si>
    <t>Escenario base</t>
  </si>
  <si>
    <t>Curva calculada con los parámetros de la hoja 03. Se actualiza automáticamente.</t>
  </si>
  <si>
    <t>Escenario lento</t>
  </si>
  <si>
    <t>Curva ilustrativa definida con otro par de valores p y q; no indica una probabilidad.</t>
  </si>
  <si>
    <t>Escenario rápido</t>
  </si>
  <si>
    <t>Adopción ≠ ventas</t>
  </si>
  <si>
    <t>Un adoptante no necesariamente compra una unidad, y la empresa no captura automáticamente todo el mercado.</t>
  </si>
  <si>
    <t>Estado LISTO</t>
  </si>
  <si>
    <t>Los parámetros están dentro de límites operativos. No implica pronóstico fiable ni parámetros estimados.</t>
  </si>
  <si>
    <t>Variación nuevos</t>
  </si>
  <si>
    <t>Cambio porcentual de nuevos adoptantes respecto al año previo; si aumenta se denomina aceleración y si disminuye, desaceleración.</t>
  </si>
  <si>
    <t>REVISAR / REVISAR ENTRADAS</t>
  </si>
  <si>
    <t>Hay un dato obligatorio ausente o fuera de rango; comprueba las celdas amarillas de Parámetros o Escenarios.</t>
  </si>
  <si>
    <t>Las curvas son proyecciones condicionadas a supuestos. Para productos con recompras, competencia cambiante o demanda por diferentes segmentos, se necesita análisis adicional.</t>
  </si>
  <si>
    <t>MODELO BASS | PARÁMETROS</t>
  </si>
  <si>
    <t>Solo modifica las celdas amarillas · Un único ejemplo para toda la plantilla</t>
  </si>
  <si>
    <t>CAPTURA · MODIFICA SOLO CELDAS AMARILLAS</t>
  </si>
  <si>
    <t>Número de establecimientos que podrían adoptar; unidad: adoptantes.</t>
  </si>
  <si>
    <t>Influencia externa. Parámetro anual positivo; ejemplo 0,03.</t>
  </si>
  <si>
    <t>Influencia de adoptantes anteriores; ejemplo 0,38.</t>
  </si>
  <si>
    <t>Horizonte (años)</t>
  </si>
  <si>
    <t>Número de años mostrados (de 1 a 20).</t>
  </si>
  <si>
    <t>Nombre del producto</t>
  </si>
  <si>
    <t>Dispositivo de gestión energética para comercios</t>
  </si>
  <si>
    <t>Describe el caso sin cambiar fórmulas.</t>
  </si>
  <si>
    <t>COMPROBACIÓN AUTOMÁTICA Y REFERENCIAS</t>
  </si>
  <si>
    <t>Estado de entradas</t>
  </si>
  <si>
    <t>LISTO = datos completos y en rango; no valida supuestos estadísticos.</t>
  </si>
  <si>
    <t>Pico continuo (años)</t>
  </si>
  <si>
    <t>Si aparece 0, la tasa instantánea es máxima desde el inicio (q ≤ p).</t>
  </si>
  <si>
    <t>CÓMO INTERPRETAR LOS DATOS</t>
  </si>
  <si>
    <t>Mercado potencial m: no uses toda la población si el producto solo aplica a un segmento elegible.</t>
  </si>
  <si>
    <t>p y q no son porcentajes de ventas ni probabilidades de ocurrencia de los escenarios.</t>
  </si>
  <si>
    <t>El modelo usa primeros adoptantes y supone parámetros constantes durante la proyección.</t>
  </si>
  <si>
    <t>Los datos precargados son hipotéticos. Sustitúyelos por supuestos fundamentados de tu propio producto.</t>
  </si>
  <si>
    <t>Consejo: revisa «06 Resultados» para observar el resultado base y «05 Escenarios» para comprobar sensibilidad.</t>
  </si>
  <si>
    <t>MODELO BASS | PROYECCIÓN</t>
  </si>
  <si>
    <t>Proyección anual del modelo continuo de Bass · Resultados automáticos</t>
  </si>
  <si>
    <t>CÁLCULO AUTOMÁTICO | HASTA 20 PERIODOS ANUALES</t>
  </si>
  <si>
    <t>No edites las fórmulas. Año 0 = sin adoptantes iniciales. La adopción nueva se calcula como diferencia entre acumulados consecutivos, no como ventas reales.</t>
  </si>
  <si>
    <t>Año (t)</t>
  </si>
  <si>
    <t>Adopción acumulada</t>
  </si>
  <si>
    <t>Lectura</t>
  </si>
  <si>
    <t>Punto de partida</t>
  </si>
  <si>
    <t>Interpretación: los resultados son escenarios condicionados a m, p y q. La mayor adopción anual se obtiene evaluando años completos; el máximo instantáneo puede ocurrir entre años.</t>
  </si>
  <si>
    <t>MODELO BASS | ESCENARIOS</t>
  </si>
  <si>
    <t>Compara velocidades de difusión modificando únicamente p y q</t>
  </si>
  <si>
    <t>COMPARACIÓN DE ESCENARIOS | MODIFICA p Y q AMARILLOS</t>
  </si>
  <si>
    <t>Coeficiente p</t>
  </si>
  <si>
    <t>ESCENARIO LENTO (C) y RÁPIDO (E): edita solo los coeficientes amarillos. El BASE (D) y m están enlazados a «03 Parametros». Lento/rápido son etiquetas didácticas: verifica que las curvas resultantes respeten esa interpretación.</t>
  </si>
  <si>
    <t>Coeficiente q</t>
  </si>
  <si>
    <t>RESUMEN POR ESCENARIO</t>
  </si>
  <si>
    <t>Medida</t>
  </si>
  <si>
    <t>Más lento</t>
  </si>
  <si>
    <t>Base (vinculado)</t>
  </si>
  <si>
    <t>Más rápido</t>
  </si>
  <si>
    <t>Control de entradas</t>
  </si>
  <si>
    <t>Adoptantes al horizonte</t>
  </si>
  <si>
    <t>Penetración al horizonte</t>
  </si>
  <si>
    <t>COMPARACIÓN · el resumen usa el mismo horizonte y mercado potencial para las tres curvas. Los escenarios NO representan probabilidades ni predicciones certificadas. 0 en el pico indica máxima tasa al comienzo.</t>
  </si>
  <si>
    <t>Año</t>
  </si>
  <si>
    <t>Base</t>
  </si>
  <si>
    <t>MODELO BASS | RESULTADOS</t>
  </si>
  <si>
    <t>Panel de lectura · Indicadores, curvas y advertencias de interpretación</t>
  </si>
  <si>
    <t>TABLERO BASE · RESULTADOS DEL HORIZONTE SELECCIONADO</t>
  </si>
  <si>
    <t>ADOPCIÓN ACUMULADA</t>
  </si>
  <si>
    <t>PENETRACIÓN</t>
  </si>
  <si>
    <t>MÁX. NUEVAS / AÑO</t>
  </si>
  <si>
    <t>AÑO DE MÁX. ADOPCIÓN</t>
  </si>
  <si>
    <t>HORIZONTE</t>
  </si>
  <si>
    <t>LECTURA GRÁFICA | EJEMPLO BASE Y SENSIBILIDAD</t>
  </si>
  <si>
    <t>COMPARA LOS TRES ESCENARIOS</t>
  </si>
  <si>
    <t>Importante: estas curvas muestran adoptantes potenciales estimados bajo parámetros constantes, NO ventas, ingresos ni probabilidades. Si cambias datos, revisa «03 Parametros» y «05 Escenarios».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</si>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</sst>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20">
    <font>
      <sz val="11"/>
      <name val="Carlito"/>
    </font>
    <font>
      <sz val="11"/>
      <color rgb="FFFFFFFF"/>
      <name val="Carlito"/>
    </font>
    <font>
      <sz val="11"/>
      <color rgb="FFFFFFFF"/>
      <name val="Carlito"/>
    </font>
    <font>
      <b/>
      <sz val="11"/>
      <color rgb="FFFFFFFF"/>
      <name val="Carlito"/>
    </font>
    <font>
      <b/>
      <sz val="17"/>
      <color rgb="FFFFFFFF"/>
      <name val="Carlito"/>
    </font>
    <font>
      <sz val="11"/>
      <color rgb="FF1E3045"/>
      <name val="Carlito"/>
    </font>
    <font>
      <b/>
      <sz val="11"/>
      <color rgb="FF10263E"/>
      <name val="Carlito"/>
    </font>
    <font>
      <sz val="11"/>
      <color rgb="FF10263E"/>
      <name val="Carlito"/>
    </font>
    <font>
      <sz val="11"/>
      <color rgb="FF62758D"/>
      <name val="Carlito"/>
    </font>
    <font>
      <b/>
      <sz val="11"/>
      <color rgb="FF217647"/>
      <name val="Carlito"/>
    </font>
    <font>
      <sz val="11"/>
      <color rgb="FF1E3045"/>
      <name val="Carlito"/>
    </font>
    <font>
      <b/>
      <sz val="16"/>
      <color rgb="FF10263E"/>
      <name val="Carlito"/>
    </font>
    <font>
      <b/>
      <sz val="10"/>
      <color rgb="FF17324F"/>
      <name val="Carlito"/>
    </font>
    <font>
      <sz val="10"/>
      <color rgb="FF34465A"/>
      <name val="Carlito"/>
    </font>
    <font>
      <b/>
      <sz val="10"/>
      <color rgb="FFFFFFFF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10263E"/>
      </patternFill>
    </fill>
    <fill>
      <patternFill patternType="solid">
        <fgColor rgb="FF193550"/>
      </patternFill>
    </fill>
    <fill>
      <patternFill patternType="solid">
        <fgColor rgb="FFFFF4D5"/>
      </patternFill>
    </fill>
    <fill>
      <patternFill patternType="solid">
        <fgColor rgb="FFEAF2FA"/>
      </patternFill>
    </fill>
    <fill>
      <patternFill patternType="solid">
        <fgColor rgb="FF17324F"/>
      </patternFill>
    </fill>
    <fill>
      <patternFill patternType="solid">
        <fgColor rgb="FF10263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93550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rgb="FFFFF4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2FA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9EFF6"/>
        <bgColor indexed="64"/>
      </patternFill>
    </fill>
    <fill>
      <patternFill patternType="solid">
        <fgColor rgb="FFF6F8F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3" fontId="11" fillId="5" borderId="0" xfId="0" applyNumberFormat="1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165" fontId="11" fillId="5" borderId="0" xfId="0" applyNumberFormat="1" applyFont="1" applyFill="1" applyAlignment="1">
      <alignment horizontal="center"/>
    </xf>
    <xf numFmtId="1" fontId="11" fillId="5" borderId="0" xfId="0" applyNumberFormat="1" applyFont="1" applyFill="1" applyAlignment="1">
      <alignment horizontal="center"/>
    </xf>
    <xf numFmtId="0" fontId="14" fillId="6" borderId="0" xfId="0" applyFont="1" applyFill="1" applyAlignment="1">
      <alignment horizontal="left" vertical="center"/>
    </xf>
    <xf numFmtId="0" fontId="1" fillId="7" borderId="0" xfId="0" applyFont="1" applyFill="1"/>
    <xf numFmtId="0" fontId="4" fillId="7" borderId="0" xfId="0" applyFont="1" applyFill="1" applyAlignment="1">
      <alignment wrapText="1"/>
    </xf>
    <xf numFmtId="0" fontId="0" fillId="8" borderId="0" xfId="0" applyFill="1"/>
    <xf numFmtId="0" fontId="1" fillId="9" borderId="0" xfId="0" applyFont="1" applyFill="1"/>
    <xf numFmtId="0" fontId="2" fillId="9" borderId="0" xfId="0" applyFont="1" applyFill="1" applyAlignment="1">
      <alignment wrapText="1"/>
    </xf>
    <xf numFmtId="0" fontId="3" fillId="9" borderId="0" xfId="0" applyFont="1" applyFill="1" applyAlignment="1">
      <alignment wrapText="1"/>
    </xf>
    <xf numFmtId="0" fontId="5" fillId="10" borderId="0" xfId="0" applyFont="1" applyFill="1" applyAlignment="1">
      <alignment wrapText="1"/>
    </xf>
    <xf numFmtId="0" fontId="6" fillId="11" borderId="0" xfId="0" applyFont="1" applyFill="1" applyAlignment="1">
      <alignment wrapText="1"/>
    </xf>
    <xf numFmtId="0" fontId="5" fillId="12" borderId="0" xfId="0" applyFont="1" applyFill="1" applyAlignment="1">
      <alignment wrapText="1"/>
    </xf>
    <xf numFmtId="0" fontId="7" fillId="13" borderId="0" xfId="0" applyFont="1" applyFill="1" applyAlignment="1">
      <alignment wrapText="1"/>
    </xf>
    <xf numFmtId="0" fontId="16" fillId="14" borderId="1" xfId="0" applyFont="1" applyFill="1" applyBorder="1" applyAlignment="1">
      <alignment horizontal="center" vertical="center" wrapText="1"/>
    </xf>
    <xf numFmtId="0" fontId="16" fillId="14" borderId="2" xfId="0" applyFont="1" applyFill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16" fillId="14" borderId="4" xfId="0" applyFont="1" applyFill="1" applyBorder="1" applyAlignment="1">
      <alignment horizontal="center" vertical="center" wrapText="1"/>
    </xf>
    <xf numFmtId="0" fontId="16" fillId="14" borderId="5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9" fillId="8" borderId="7" xfId="1" applyFont="1" applyFill="1" applyBorder="1" applyAlignment="1">
      <alignment horizontal="center" vertical="center"/>
    </xf>
    <xf numFmtId="0" fontId="19" fillId="8" borderId="8" xfId="1" applyFont="1" applyFill="1" applyBorder="1" applyAlignment="1">
      <alignment horizontal="center" vertical="center"/>
    </xf>
    <xf numFmtId="0" fontId="6" fillId="13" borderId="0" xfId="0" applyFont="1" applyFill="1" applyAlignment="1">
      <alignment wrapText="1"/>
    </xf>
    <xf numFmtId="0" fontId="6" fillId="10" borderId="0" xfId="0" applyFont="1" applyFill="1" applyAlignment="1">
      <alignment wrapText="1"/>
    </xf>
    <xf numFmtId="0" fontId="12" fillId="15" borderId="0" xfId="0" applyFont="1" applyFill="1" applyAlignment="1">
      <alignment vertical="center"/>
    </xf>
    <xf numFmtId="0" fontId="13" fillId="16" borderId="0" xfId="0" applyFont="1" applyFill="1" applyAlignment="1">
      <alignment vertical="center" wrapText="1"/>
    </xf>
    <xf numFmtId="0" fontId="7" fillId="11" borderId="0" xfId="0" applyFont="1" applyFill="1" applyAlignment="1">
      <alignment wrapText="1"/>
    </xf>
    <xf numFmtId="0" fontId="4" fillId="7" borderId="0" xfId="0" applyFont="1" applyFill="1" applyAlignment="1" applyProtection="1">
      <alignment wrapText="1"/>
      <protection locked="0"/>
    </xf>
    <xf numFmtId="0" fontId="2" fillId="9" borderId="0" xfId="0" applyFont="1" applyFill="1" applyAlignment="1" applyProtection="1">
      <alignment wrapText="1"/>
      <protection locked="0"/>
    </xf>
    <xf numFmtId="0" fontId="0" fillId="8" borderId="0" xfId="0" applyFill="1" applyProtection="1">
      <protection locked="0"/>
    </xf>
    <xf numFmtId="0" fontId="3" fillId="9" borderId="0" xfId="0" applyFont="1" applyFill="1" applyAlignment="1" applyProtection="1">
      <alignment wrapText="1"/>
      <protection locked="0"/>
    </xf>
    <xf numFmtId="0" fontId="6" fillId="10" borderId="0" xfId="0" applyFont="1" applyFill="1" applyProtection="1">
      <protection locked="0"/>
    </xf>
    <xf numFmtId="3" fontId="6" fillId="11" borderId="0" xfId="0" applyNumberFormat="1" applyFont="1" applyFill="1" applyAlignment="1" applyProtection="1">
      <alignment horizontal="center"/>
      <protection locked="0"/>
    </xf>
    <xf numFmtId="0" fontId="8" fillId="10" borderId="0" xfId="0" applyFont="1" applyFill="1" applyAlignment="1" applyProtection="1">
      <alignment wrapText="1"/>
      <protection locked="0"/>
    </xf>
    <xf numFmtId="164" fontId="6" fillId="11" borderId="0" xfId="0" applyNumberFormat="1" applyFont="1" applyFill="1" applyAlignment="1" applyProtection="1">
      <alignment horizontal="center"/>
      <protection locked="0"/>
    </xf>
    <xf numFmtId="1" fontId="6" fillId="11" borderId="0" xfId="0" applyNumberFormat="1" applyFont="1" applyFill="1" applyAlignment="1" applyProtection="1">
      <alignment horizontal="center"/>
      <protection locked="0"/>
    </xf>
    <xf numFmtId="0" fontId="7" fillId="11" borderId="0" xfId="0" applyFont="1" applyFill="1" applyAlignment="1" applyProtection="1">
      <alignment wrapText="1"/>
      <protection locked="0"/>
    </xf>
    <xf numFmtId="0" fontId="9" fillId="13" borderId="0" xfId="0" applyFont="1" applyFill="1" applyAlignment="1" applyProtection="1">
      <alignment horizontal="center"/>
      <protection locked="0"/>
    </xf>
    <xf numFmtId="2" fontId="6" fillId="13" borderId="0" xfId="0" applyNumberFormat="1" applyFont="1" applyFill="1" applyAlignment="1" applyProtection="1">
      <alignment horizontal="center"/>
      <protection locked="0"/>
    </xf>
    <xf numFmtId="0" fontId="5" fillId="10" borderId="0" xfId="0" applyFont="1" applyFill="1" applyAlignment="1" applyProtection="1">
      <alignment wrapText="1"/>
      <protection locked="0"/>
    </xf>
    <xf numFmtId="0" fontId="5" fillId="12" borderId="0" xfId="0" applyFont="1" applyFill="1" applyAlignment="1" applyProtection="1">
      <alignment wrapText="1"/>
      <protection locked="0"/>
    </xf>
    <xf numFmtId="0" fontId="5" fillId="13" borderId="0" xfId="0" applyFont="1" applyFill="1" applyAlignment="1" applyProtection="1">
      <alignment wrapText="1"/>
      <protection locked="0"/>
    </xf>
    <xf numFmtId="0" fontId="3" fillId="9" borderId="0" xfId="0" applyFont="1" applyFill="1" applyAlignment="1" applyProtection="1">
      <alignment horizontal="center" wrapText="1"/>
      <protection locked="0"/>
    </xf>
    <xf numFmtId="0" fontId="6" fillId="13" borderId="0" xfId="0" applyFont="1" applyFill="1" applyProtection="1">
      <protection locked="0"/>
    </xf>
    <xf numFmtId="3" fontId="6" fillId="13" borderId="0" xfId="0" applyNumberFormat="1" applyFont="1" applyFill="1" applyProtection="1">
      <protection locked="0"/>
    </xf>
    <xf numFmtId="165" fontId="6" fillId="13" borderId="0" xfId="0" applyNumberFormat="1" applyFont="1" applyFill="1" applyProtection="1">
      <protection locked="0"/>
    </xf>
    <xf numFmtId="0" fontId="10" fillId="10" borderId="0" xfId="0" applyFont="1" applyFill="1" applyProtection="1">
      <protection locked="0"/>
    </xf>
    <xf numFmtId="3" fontId="10" fillId="10" borderId="0" xfId="0" applyNumberFormat="1" applyFont="1" applyFill="1" applyProtection="1">
      <protection locked="0"/>
    </xf>
    <xf numFmtId="165" fontId="10" fillId="10" borderId="0" xfId="0" applyNumberFormat="1" applyFont="1" applyFill="1" applyProtection="1">
      <protection locked="0"/>
    </xf>
    <xf numFmtId="164" fontId="6" fillId="13" borderId="0" xfId="0" applyNumberFormat="1" applyFont="1" applyFill="1" applyAlignment="1" applyProtection="1">
      <alignment horizontal="center"/>
      <protection locked="0"/>
    </xf>
    <xf numFmtId="3" fontId="6" fillId="13" borderId="0" xfId="0" applyNumberFormat="1" applyFont="1" applyFill="1" applyAlignment="1" applyProtection="1">
      <alignment horizontal="center"/>
      <protection locked="0"/>
    </xf>
    <xf numFmtId="0" fontId="6" fillId="13" borderId="0" xfId="0" applyFont="1" applyFill="1" applyAlignment="1" applyProtection="1">
      <alignment horizontal="center"/>
      <protection locked="0"/>
    </xf>
    <xf numFmtId="165" fontId="6" fillId="13" borderId="0" xfId="0" applyNumberFormat="1" applyFont="1" applyFill="1" applyAlignment="1" applyProtection="1">
      <alignment horizontal="center"/>
      <protection locked="0"/>
    </xf>
    <xf numFmtId="0" fontId="3" fillId="9" borderId="0" xfId="0" applyFont="1" applyFill="1" applyAlignment="1" applyProtection="1">
      <alignment horizontal="center"/>
      <protection locked="0"/>
    </xf>
    <xf numFmtId="3" fontId="10" fillId="13" borderId="0" xfId="0" applyNumberFormat="1" applyFont="1" applyFill="1" applyProtection="1">
      <protection locked="0"/>
    </xf>
  </cellXfs>
  <cellStyles count="2">
    <cellStyle name="Hipervínculo" xfId="1" builtinId="8"/>
    <cellStyle name="Normal" xfId="0" builtinId="0"/>
  </cellStyles>
  <dxfs count="6">
    <dxf>
      <font>
        <color rgb="FFB42318"/>
      </font>
      <fill>
        <patternFill>
          <bgColor rgb="FFFEE4E2"/>
        </patternFill>
      </fill>
    </dxf>
    <dxf>
      <font>
        <color rgb="FFB42318"/>
      </font>
      <fill>
        <patternFill>
          <bgColor rgb="FFFEE4E2"/>
        </patternFill>
      </fill>
    </dxf>
    <dxf>
      <font>
        <color rgb="FFB42318"/>
      </font>
      <fill>
        <patternFill>
          <bgColor rgb="FFFEE4E2"/>
        </patternFill>
      </fill>
    </dxf>
    <dxf>
      <font>
        <b/>
        <color rgb="FF6B5200"/>
      </font>
      <fill>
        <patternFill>
          <bgColor rgb="FFFFF1C3"/>
        </patternFill>
      </fill>
    </dxf>
    <dxf>
      <font>
        <b/>
        <color rgb="FF176C43"/>
      </font>
      <fill>
        <patternFill>
          <bgColor rgb="FFE7F6E8"/>
        </patternFill>
      </fill>
    </dxf>
    <dxf>
      <font>
        <b/>
        <color rgb="FFB42318"/>
      </font>
      <fill>
        <patternFill>
          <bgColor rgb="FFFEE4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Adopción acumulada por año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Adoptantes acumulados</c:v>
          </c:tx>
          <c:marker>
            <c:symbol val="none"/>
          </c:marker>
          <c:cat>
            <c:strRef>
              <c:f>'04 Proyeccion'!$B$12:$B$32</c:f>
              <c:strCach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strCache>
            </c:strRef>
          </c:cat>
          <c:val>
            <c:numRef>
              <c:f>'04 Proyeccion'!$C$12:$C$32</c:f>
              <c:numCache>
                <c:formatCode>#,##0</c:formatCode>
                <c:ptCount val="21"/>
                <c:pt idx="0">
                  <c:v>0</c:v>
                </c:pt>
                <c:pt idx="1">
                  <c:v>357.5816425644162</c:v>
                </c:pt>
                <c:pt idx="2">
                  <c:v>850.56281402182162</c:v>
                </c:pt>
                <c:pt idx="3">
                  <c:v>1505.0007196371294</c:v>
                </c:pt>
                <c:pt idx="4">
                  <c:v>2331.5047173163007</c:v>
                </c:pt>
                <c:pt idx="5">
                  <c:v>3311.9864249137358</c:v>
                </c:pt>
                <c:pt idx="6">
                  <c:v>4392.3521787287527</c:v>
                </c:pt>
                <c:pt idx="7">
                  <c:v>5490.0974165775324</c:v>
                </c:pt>
                <c:pt idx="8">
                  <c:v>6517.3758595855006</c:v>
                </c:pt>
                <c:pt idx="9">
                  <c:v>7407.2710633647603</c:v>
                </c:pt>
                <c:pt idx="10">
                  <c:v>8128.0322122134621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04-441B-B2E2-D2B2291CB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Nuevos adoptantes cada año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Nuevas adopciones</c:v>
          </c:tx>
          <c:invertIfNegative val="1"/>
          <c:cat>
            <c:strRef>
              <c:f>'04 Proyeccion'!$B$13:$B$32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'04 Proyeccion'!$D$13:$D$32</c:f>
              <c:numCache>
                <c:formatCode>#,##0</c:formatCode>
                <c:ptCount val="20"/>
                <c:pt idx="0">
                  <c:v>357.5816425644162</c:v>
                </c:pt>
                <c:pt idx="1">
                  <c:v>492.98117145740542</c:v>
                </c:pt>
                <c:pt idx="2">
                  <c:v>654.43790561530773</c:v>
                </c:pt>
                <c:pt idx="3">
                  <c:v>826.50399767917133</c:v>
                </c:pt>
                <c:pt idx="4">
                  <c:v>980.48170759743516</c:v>
                </c:pt>
                <c:pt idx="5">
                  <c:v>1080.3657538150169</c:v>
                </c:pt>
                <c:pt idx="6">
                  <c:v>1097.7452378487797</c:v>
                </c:pt>
                <c:pt idx="7">
                  <c:v>1027.2784430079682</c:v>
                </c:pt>
                <c:pt idx="8">
                  <c:v>889.89520377925965</c:v>
                </c:pt>
                <c:pt idx="9">
                  <c:v>720.76114884870185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C9-44E5-AC04-74791CAAD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Adopción acumulada: escenarios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Más lento</c:v>
          </c:tx>
          <c:marker>
            <c:symbol val="none"/>
          </c:marker>
          <c:cat>
            <c:strRef>
              <c:f>'05 Escenarios'!$B$27:$B$46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'05 Escenarios'!$C$27:$C$46</c:f>
              <c:numCache>
                <c:formatCode>#,##0</c:formatCode>
                <c:ptCount val="20"/>
                <c:pt idx="0">
                  <c:v>224.44985418973306</c:v>
                </c:pt>
                <c:pt idx="1">
                  <c:v>503.66243427292164</c:v>
                </c:pt>
                <c:pt idx="2">
                  <c:v>846.15932497263623</c:v>
                </c:pt>
                <c:pt idx="3">
                  <c:v>1259.1258657298338</c:v>
                </c:pt>
                <c:pt idx="4">
                  <c:v>1746.867516122644</c:v>
                </c:pt>
                <c:pt idx="5">
                  <c:v>2309.0465800994562</c:v>
                </c:pt>
                <c:pt idx="6">
                  <c:v>2939.0974015866441</c:v>
                </c:pt>
                <c:pt idx="7">
                  <c:v>3623.3941615304802</c:v>
                </c:pt>
                <c:pt idx="8">
                  <c:v>4341.7298619721514</c:v>
                </c:pt>
                <c:pt idx="9">
                  <c:v>5069.3454064284842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2-41D7-9CC2-0D0E606488DB}"/>
            </c:ext>
          </c:extLst>
        </c:ser>
        <c:ser>
          <c:idx val="1"/>
          <c:order val="1"/>
          <c:tx>
            <c:v>Base</c:v>
          </c:tx>
          <c:marker>
            <c:symbol val="none"/>
          </c:marker>
          <c:cat>
            <c:strRef>
              <c:f>'05 Escenarios'!$B$27:$B$46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'05 Escenarios'!$D$27:$D$46</c:f>
              <c:numCache>
                <c:formatCode>#,##0</c:formatCode>
                <c:ptCount val="20"/>
                <c:pt idx="0">
                  <c:v>357.5816425644162</c:v>
                </c:pt>
                <c:pt idx="1">
                  <c:v>850.56281402182162</c:v>
                </c:pt>
                <c:pt idx="2">
                  <c:v>1505.0007196371294</c:v>
                </c:pt>
                <c:pt idx="3">
                  <c:v>2331.5047173163007</c:v>
                </c:pt>
                <c:pt idx="4">
                  <c:v>3311.9864249137358</c:v>
                </c:pt>
                <c:pt idx="5">
                  <c:v>4392.3521787287527</c:v>
                </c:pt>
                <c:pt idx="6">
                  <c:v>5490.0974165775324</c:v>
                </c:pt>
                <c:pt idx="7">
                  <c:v>6517.3758595855006</c:v>
                </c:pt>
                <c:pt idx="8">
                  <c:v>7407.2710633647603</c:v>
                </c:pt>
                <c:pt idx="9">
                  <c:v>8128.0322122134621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32-41D7-9CC2-0D0E606488DB}"/>
            </c:ext>
          </c:extLst>
        </c:ser>
        <c:ser>
          <c:idx val="2"/>
          <c:order val="2"/>
          <c:tx>
            <c:v>Más rápido</c:v>
          </c:tx>
          <c:marker>
            <c:symbol val="none"/>
          </c:marker>
          <c:cat>
            <c:strRef>
              <c:f>'05 Escenarios'!$B$27:$B$46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'05 Escenarios'!$E$27:$E$46</c:f>
              <c:numCache>
                <c:formatCode>#,##0</c:formatCode>
                <c:ptCount val="20"/>
                <c:pt idx="0">
                  <c:v>503.66243427292164</c:v>
                </c:pt>
                <c:pt idx="1">
                  <c:v>1259.1258657298338</c:v>
                </c:pt>
                <c:pt idx="2">
                  <c:v>2309.0465800994562</c:v>
                </c:pt>
                <c:pt idx="3">
                  <c:v>3623.3941615304802</c:v>
                </c:pt>
                <c:pt idx="4">
                  <c:v>5069.3454064284842</c:v>
                </c:pt>
                <c:pt idx="5">
                  <c:v>6450.518282255648</c:v>
                </c:pt>
                <c:pt idx="6">
                  <c:v>7602.8144763107066</c:v>
                </c:pt>
                <c:pt idx="7">
                  <c:v>8460.4617197292773</c:v>
                </c:pt>
                <c:pt idx="8">
                  <c:v>9046.0995505378523</c:v>
                </c:pt>
                <c:pt idx="9">
                  <c:v>9422.8461014846525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D32-41D7-9CC2-0D0E60648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1884337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6C79C6-69B2-42A8-A06A-5BCF0369B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0"/>
          <a:ext cx="206912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1882432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638588-3C12-4D80-9DF6-D5E427DF9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39400" y="0"/>
          <a:ext cx="2059597" cy="61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12</xdr:col>
      <xdr:colOff>1848142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FDF5B7-C137-40D6-B2B5-C7E53A141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6925" y="0"/>
          <a:ext cx="2067217" cy="6115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1888147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BCE371-2805-4FE9-94E3-AA8F63365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8400" y="0"/>
          <a:ext cx="2065312" cy="6115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11</xdr:col>
      <xdr:colOff>1754797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80D497-AC58-48AA-9CB8-4A64232A2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39600" y="0"/>
          <a:ext cx="2055787" cy="60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13</xdr:row>
      <xdr:rowOff>0</xdr:rowOff>
    </xdr:from>
    <xdr:to>
      <xdr:col>15</xdr:col>
      <xdr:colOff>0</xdr:colOff>
      <xdr:row>30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32</xdr:row>
      <xdr:rowOff>0</xdr:rowOff>
    </xdr:from>
    <xdr:to>
      <xdr:col>15</xdr:col>
      <xdr:colOff>0</xdr:colOff>
      <xdr:row>50</xdr:row>
      <xdr:rowOff>0</xdr:rowOff>
    </xdr:to>
    <xdr:graphicFrame macro="">
      <xdr:nvGraphicFramePr>
        <xdr:cNvPr id="4" name="Chart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workbookViewId="0">
      <pane ySplit="5" topLeftCell="A6" activePane="bottomLeft" state="frozen"/>
      <selection pane="bottomLeft" activeCell="M15" sqref="M15"/>
    </sheetView>
  </sheetViews>
  <sheetFormatPr baseColWidth="10" defaultColWidth="8.796875" defaultRowHeight="13.8"/>
  <cols>
    <col min="1" max="1" width="4" style="14" customWidth="1"/>
    <col min="2" max="2" width="16" style="14" customWidth="1"/>
    <col min="3" max="8" width="13" style="14" customWidth="1"/>
    <col min="9" max="11" width="16" style="14" customWidth="1"/>
    <col min="12" max="12" width="2.19921875" style="14" customWidth="1"/>
    <col min="13" max="13" width="39.3984375" style="14" customWidth="1"/>
    <col min="14" max="14" width="43.296875" style="14" customWidth="1"/>
    <col min="15" max="16384" width="8.796875" style="14"/>
  </cols>
  <sheetData>
    <row r="1" spans="1:14">
      <c r="A1" s="1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4">
      <c r="A4" s="15"/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</row>
    <row r="5" spans="1:14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4" ht="14.4" thickBot="1"/>
    <row r="7" spans="1:14" ht="19.8" customHeight="1">
      <c r="B7" s="17" t="s">
        <v>2</v>
      </c>
      <c r="C7" s="17"/>
      <c r="D7" s="17"/>
      <c r="E7" s="17"/>
      <c r="F7" s="17"/>
      <c r="G7" s="17"/>
      <c r="H7" s="17"/>
      <c r="I7" s="17"/>
      <c r="J7" s="17"/>
      <c r="K7" s="17"/>
      <c r="M7" s="22" t="s">
        <v>133</v>
      </c>
      <c r="N7" s="23"/>
    </row>
    <row r="8" spans="1:14" ht="19.8" customHeight="1">
      <c r="M8" s="24"/>
      <c r="N8" s="25"/>
    </row>
    <row r="9" spans="1:14" ht="19.8" customHeight="1" thickBot="1">
      <c r="B9" s="17" t="s">
        <v>3</v>
      </c>
      <c r="C9" s="17"/>
      <c r="D9" s="18" t="s">
        <v>4</v>
      </c>
      <c r="E9" s="18"/>
      <c r="F9" s="18"/>
      <c r="G9" s="18"/>
      <c r="H9" s="18"/>
      <c r="I9" s="19" t="s">
        <v>5</v>
      </c>
      <c r="J9" s="19"/>
      <c r="K9" s="19"/>
      <c r="M9" s="26"/>
      <c r="N9" s="27"/>
    </row>
    <row r="10" spans="1:14" ht="17.399999999999999" thickBot="1">
      <c r="B10" s="17"/>
      <c r="C10" s="17"/>
      <c r="D10" s="18"/>
      <c r="E10" s="18"/>
      <c r="F10" s="18"/>
      <c r="G10" s="18"/>
      <c r="H10" s="18"/>
      <c r="I10" s="19"/>
      <c r="J10" s="19"/>
      <c r="K10" s="19"/>
      <c r="M10" s="28" t="s">
        <v>134</v>
      </c>
      <c r="N10" s="29"/>
    </row>
    <row r="12" spans="1:14">
      <c r="B12" s="17" t="s">
        <v>6</v>
      </c>
      <c r="C12" s="17"/>
      <c r="D12" s="18" t="s">
        <v>7</v>
      </c>
      <c r="E12" s="18"/>
      <c r="F12" s="18"/>
      <c r="G12" s="18"/>
      <c r="H12" s="18"/>
      <c r="I12" s="19" t="s">
        <v>8</v>
      </c>
      <c r="J12" s="19"/>
      <c r="K12" s="19"/>
    </row>
    <row r="13" spans="1:14">
      <c r="B13" s="17"/>
      <c r="C13" s="17"/>
      <c r="D13" s="18"/>
      <c r="E13" s="18"/>
      <c r="F13" s="18"/>
      <c r="G13" s="18"/>
      <c r="H13" s="18"/>
      <c r="I13" s="19"/>
      <c r="J13" s="19"/>
      <c r="K13" s="19"/>
    </row>
    <row r="15" spans="1:14">
      <c r="B15" s="17" t="s">
        <v>9</v>
      </c>
      <c r="C15" s="17"/>
      <c r="D15" s="18" t="s">
        <v>10</v>
      </c>
      <c r="E15" s="18"/>
      <c r="F15" s="18"/>
      <c r="G15" s="18"/>
      <c r="H15" s="18"/>
      <c r="I15" s="19" t="s">
        <v>11</v>
      </c>
      <c r="J15" s="19"/>
      <c r="K15" s="19"/>
    </row>
    <row r="16" spans="1:14">
      <c r="B16" s="17"/>
      <c r="C16" s="17"/>
      <c r="D16" s="18"/>
      <c r="E16" s="18"/>
      <c r="F16" s="18"/>
      <c r="G16" s="18"/>
      <c r="H16" s="18"/>
      <c r="I16" s="19"/>
      <c r="J16" s="19"/>
      <c r="K16" s="19"/>
    </row>
    <row r="18" spans="2:11">
      <c r="B18" s="17" t="s">
        <v>12</v>
      </c>
      <c r="C18" s="17"/>
      <c r="D18" s="18" t="s">
        <v>13</v>
      </c>
      <c r="E18" s="18"/>
      <c r="F18" s="18"/>
      <c r="G18" s="18"/>
      <c r="H18" s="18"/>
      <c r="I18" s="19" t="s">
        <v>14</v>
      </c>
      <c r="J18" s="19"/>
      <c r="K18" s="19"/>
    </row>
    <row r="19" spans="2:11">
      <c r="B19" s="17"/>
      <c r="C19" s="17"/>
      <c r="D19" s="18"/>
      <c r="E19" s="18"/>
      <c r="F19" s="18"/>
      <c r="G19" s="18"/>
      <c r="H19" s="18"/>
      <c r="I19" s="19"/>
      <c r="J19" s="19"/>
      <c r="K19" s="19"/>
    </row>
    <row r="21" spans="2:11">
      <c r="B21" s="17" t="s">
        <v>15</v>
      </c>
      <c r="C21" s="17"/>
      <c r="D21" s="18" t="s">
        <v>16</v>
      </c>
      <c r="E21" s="18"/>
      <c r="F21" s="18"/>
      <c r="G21" s="18"/>
      <c r="H21" s="18"/>
      <c r="I21" s="19" t="s">
        <v>17</v>
      </c>
      <c r="J21" s="19"/>
      <c r="K21" s="19"/>
    </row>
    <row r="22" spans="2:11">
      <c r="B22" s="17"/>
      <c r="C22" s="17"/>
      <c r="D22" s="18"/>
      <c r="E22" s="18"/>
      <c r="F22" s="18"/>
      <c r="G22" s="18"/>
      <c r="H22" s="18"/>
      <c r="I22" s="19"/>
      <c r="J22" s="19"/>
      <c r="K22" s="19"/>
    </row>
    <row r="24" spans="2:11">
      <c r="B24" s="17" t="s">
        <v>18</v>
      </c>
      <c r="C24" s="17"/>
      <c r="D24" s="18" t="s">
        <v>19</v>
      </c>
      <c r="E24" s="18"/>
      <c r="F24" s="18"/>
      <c r="G24" s="18"/>
      <c r="H24" s="18"/>
      <c r="I24" s="19" t="s">
        <v>20</v>
      </c>
      <c r="J24" s="19"/>
      <c r="K24" s="19"/>
    </row>
    <row r="25" spans="2:11">
      <c r="B25" s="17"/>
      <c r="C25" s="17"/>
      <c r="D25" s="18"/>
      <c r="E25" s="18"/>
      <c r="F25" s="18"/>
      <c r="G25" s="18"/>
      <c r="H25" s="18"/>
      <c r="I25" s="19"/>
      <c r="J25" s="19"/>
      <c r="K25" s="19"/>
    </row>
    <row r="28" spans="2:11">
      <c r="B28" s="17" t="s">
        <v>21</v>
      </c>
      <c r="C28" s="17"/>
      <c r="D28" s="17"/>
      <c r="E28" s="17"/>
      <c r="F28" s="17"/>
      <c r="G28" s="17"/>
      <c r="H28" s="17"/>
      <c r="I28" s="17"/>
      <c r="J28" s="17"/>
      <c r="K28" s="17"/>
    </row>
    <row r="30" spans="2:11">
      <c r="B30" s="18" t="s">
        <v>22</v>
      </c>
      <c r="C30" s="18"/>
      <c r="D30" s="18"/>
      <c r="E30" s="18"/>
      <c r="F30" s="18"/>
      <c r="G30" s="18"/>
      <c r="H30" s="18"/>
      <c r="I30" s="18"/>
      <c r="J30" s="18"/>
      <c r="K30" s="18"/>
    </row>
    <row r="31" spans="2:11">
      <c r="B31" s="20" t="s">
        <v>23</v>
      </c>
      <c r="C31" s="20"/>
      <c r="D31" s="20"/>
      <c r="E31" s="20"/>
      <c r="F31" s="20"/>
      <c r="G31" s="20"/>
      <c r="H31" s="20"/>
      <c r="I31" s="20"/>
      <c r="J31" s="20"/>
      <c r="K31" s="20"/>
    </row>
    <row r="32" spans="2:11">
      <c r="B32" s="18" t="s">
        <v>24</v>
      </c>
      <c r="C32" s="18"/>
      <c r="D32" s="18"/>
      <c r="E32" s="18"/>
      <c r="F32" s="18"/>
      <c r="G32" s="18"/>
      <c r="H32" s="18"/>
      <c r="I32" s="18"/>
      <c r="J32" s="18"/>
      <c r="K32" s="18"/>
    </row>
    <row r="33" spans="2:11">
      <c r="B33" s="20" t="s">
        <v>25</v>
      </c>
      <c r="C33" s="20"/>
      <c r="D33" s="20"/>
      <c r="E33" s="20"/>
      <c r="F33" s="20"/>
      <c r="G33" s="20"/>
      <c r="H33" s="20"/>
      <c r="I33" s="20"/>
      <c r="J33" s="20"/>
      <c r="K33" s="20"/>
    </row>
    <row r="34" spans="2:11">
      <c r="B34" s="18" t="s">
        <v>26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1">
      <c r="B35" s="20" t="s">
        <v>27</v>
      </c>
      <c r="C35" s="20"/>
      <c r="D35" s="20"/>
      <c r="E35" s="20"/>
      <c r="F35" s="20"/>
      <c r="G35" s="20"/>
      <c r="H35" s="20"/>
      <c r="I35" s="20"/>
      <c r="J35" s="20"/>
      <c r="K35" s="20"/>
    </row>
    <row r="36" spans="2:11">
      <c r="B36" s="18" t="s">
        <v>28</v>
      </c>
      <c r="C36" s="18"/>
      <c r="D36" s="18"/>
      <c r="E36" s="18"/>
      <c r="F36" s="18"/>
      <c r="G36" s="18"/>
      <c r="H36" s="18"/>
      <c r="I36" s="18"/>
      <c r="J36" s="18"/>
      <c r="K36" s="18"/>
    </row>
    <row r="39" spans="2:11">
      <c r="B39" s="17" t="s">
        <v>29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1">
      <c r="B40" s="18" t="s">
        <v>30</v>
      </c>
      <c r="C40" s="18"/>
      <c r="D40" s="18"/>
      <c r="E40" s="18"/>
      <c r="F40" s="18"/>
      <c r="G40" s="18"/>
      <c r="H40" s="18"/>
      <c r="I40" s="18"/>
      <c r="J40" s="18"/>
      <c r="K40" s="18"/>
    </row>
    <row r="41" spans="2:11">
      <c r="B41" s="18"/>
      <c r="C41" s="18"/>
      <c r="D41" s="18"/>
      <c r="E41" s="18"/>
      <c r="F41" s="18"/>
      <c r="G41" s="18"/>
      <c r="H41" s="18"/>
      <c r="I41" s="18"/>
      <c r="J41" s="18"/>
      <c r="K41" s="18"/>
    </row>
    <row r="43" spans="2:11">
      <c r="B43" s="21" t="s">
        <v>31</v>
      </c>
      <c r="C43" s="21"/>
      <c r="D43" s="21"/>
      <c r="E43" s="21"/>
      <c r="F43" s="21"/>
      <c r="G43" s="21"/>
      <c r="H43" s="21"/>
      <c r="I43" s="21"/>
      <c r="J43" s="21"/>
      <c r="K43" s="21"/>
    </row>
    <row r="44" spans="2:11">
      <c r="B44" s="21"/>
      <c r="C44" s="21"/>
      <c r="D44" s="21"/>
      <c r="E44" s="21"/>
      <c r="F44" s="21"/>
      <c r="G44" s="21"/>
      <c r="H44" s="21"/>
      <c r="I44" s="21"/>
      <c r="J44" s="21"/>
      <c r="K44" s="21"/>
    </row>
  </sheetData>
  <sheetProtection algorithmName="SHA-512" hashValue="9Nm1dGUlg6oCFIQzb0sDeXk2fqqGcQ/O3UMVj8wVK2Ph2UYRUia4m+IoVywzVOd/kE58h3U0wcuw/i+2V6sUJg==" saltValue="oh8LcFuvXMnGtYrC+ntvwA==" spinCount="100000" sheet="1" objects="1" scenarios="1" formatCells="0" formatColumns="0" formatRows="0" insertColumns="0" sort="0" autoFilter="0" pivotTables="0"/>
  <mergeCells count="34">
    <mergeCell ref="B36:K36"/>
    <mergeCell ref="B39:K39"/>
    <mergeCell ref="B40:K41"/>
    <mergeCell ref="B43:K44"/>
    <mergeCell ref="M7:N9"/>
    <mergeCell ref="M10:N10"/>
    <mergeCell ref="B31:K31"/>
    <mergeCell ref="B32:K32"/>
    <mergeCell ref="B33:K33"/>
    <mergeCell ref="B34:K34"/>
    <mergeCell ref="B35:K35"/>
    <mergeCell ref="B24:C25"/>
    <mergeCell ref="D24:H25"/>
    <mergeCell ref="I24:K25"/>
    <mergeCell ref="B28:K28"/>
    <mergeCell ref="B30:K30"/>
    <mergeCell ref="B18:C19"/>
    <mergeCell ref="D18:H19"/>
    <mergeCell ref="I18:K19"/>
    <mergeCell ref="B21:C22"/>
    <mergeCell ref="D21:H22"/>
    <mergeCell ref="I21:K22"/>
    <mergeCell ref="B12:C13"/>
    <mergeCell ref="D12:H13"/>
    <mergeCell ref="I12:K13"/>
    <mergeCell ref="B15:C16"/>
    <mergeCell ref="D15:H16"/>
    <mergeCell ref="I15:K16"/>
    <mergeCell ref="B4:K5"/>
    <mergeCell ref="B1:K3"/>
    <mergeCell ref="B7:K7"/>
    <mergeCell ref="B9:C10"/>
    <mergeCell ref="D9:H10"/>
    <mergeCell ref="I9:K10"/>
  </mergeCells>
  <hyperlinks>
    <hyperlink ref="M10" r:id="rId1" xr:uid="{DDDD16F1-4F06-43A8-9F71-302DABD76DC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workbookViewId="0">
      <pane ySplit="7" topLeftCell="A8" activePane="bottomLeft" state="frozen"/>
      <selection pane="bottomLeft" activeCell="M17" sqref="M17"/>
    </sheetView>
  </sheetViews>
  <sheetFormatPr baseColWidth="10" defaultColWidth="8.796875" defaultRowHeight="13.8"/>
  <cols>
    <col min="1" max="1" width="4" style="14" customWidth="1"/>
    <col min="2" max="4" width="14" style="14" customWidth="1"/>
    <col min="5" max="11" width="13" style="14" customWidth="1"/>
    <col min="12" max="12" width="2.3984375" style="14" customWidth="1"/>
    <col min="13" max="13" width="42.59765625" style="14" customWidth="1"/>
    <col min="14" max="14" width="48.8984375" style="14" customWidth="1"/>
    <col min="15" max="16384" width="8.796875" style="14"/>
  </cols>
  <sheetData>
    <row r="1" spans="1:14">
      <c r="A1" s="12"/>
      <c r="B1" s="13" t="s">
        <v>32</v>
      </c>
      <c r="C1" s="13"/>
      <c r="D1" s="13"/>
      <c r="E1" s="13"/>
      <c r="F1" s="13"/>
      <c r="G1" s="13"/>
      <c r="H1" s="13"/>
      <c r="I1" s="13"/>
      <c r="J1" s="13"/>
      <c r="K1" s="13"/>
    </row>
    <row r="2" spans="1:14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4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4">
      <c r="A4" s="15"/>
      <c r="B4" s="16" t="s">
        <v>33</v>
      </c>
      <c r="C4" s="16"/>
      <c r="D4" s="16"/>
      <c r="E4" s="16"/>
      <c r="F4" s="16"/>
      <c r="G4" s="16"/>
      <c r="H4" s="16"/>
      <c r="I4" s="16"/>
      <c r="J4" s="16"/>
      <c r="K4" s="16"/>
    </row>
    <row r="5" spans="1:14" ht="14.4" thickBot="1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4">
      <c r="M6" s="22" t="s">
        <v>133</v>
      </c>
      <c r="N6" s="23"/>
    </row>
    <row r="7" spans="1:14" ht="22.2" customHeight="1">
      <c r="B7" s="17" t="s">
        <v>34</v>
      </c>
      <c r="C7" s="17"/>
      <c r="D7" s="17"/>
      <c r="E7" s="17" t="s">
        <v>35</v>
      </c>
      <c r="F7" s="17"/>
      <c r="G7" s="17"/>
      <c r="H7" s="17"/>
      <c r="I7" s="17"/>
      <c r="J7" s="17"/>
      <c r="K7" s="17"/>
      <c r="M7" s="24"/>
      <c r="N7" s="25"/>
    </row>
    <row r="8" spans="1:14" ht="22.2" customHeight="1" thickBot="1">
      <c r="B8" s="30" t="s">
        <v>36</v>
      </c>
      <c r="C8" s="30"/>
      <c r="D8" s="30"/>
      <c r="E8" s="18" t="s">
        <v>37</v>
      </c>
      <c r="F8" s="18"/>
      <c r="G8" s="18"/>
      <c r="H8" s="18"/>
      <c r="I8" s="18"/>
      <c r="J8" s="18"/>
      <c r="K8" s="18"/>
      <c r="M8" s="26"/>
      <c r="N8" s="27"/>
    </row>
    <row r="9" spans="1:14" ht="17.399999999999999" thickBot="1">
      <c r="B9" s="31" t="s">
        <v>38</v>
      </c>
      <c r="C9" s="31"/>
      <c r="D9" s="31"/>
      <c r="E9" s="20" t="s">
        <v>39</v>
      </c>
      <c r="F9" s="20"/>
      <c r="G9" s="20"/>
      <c r="H9" s="20"/>
      <c r="I9" s="20"/>
      <c r="J9" s="20"/>
      <c r="K9" s="20"/>
      <c r="M9" s="28" t="s">
        <v>134</v>
      </c>
      <c r="N9" s="29"/>
    </row>
    <row r="10" spans="1:14">
      <c r="B10" s="30" t="s">
        <v>40</v>
      </c>
      <c r="C10" s="30"/>
      <c r="D10" s="30"/>
      <c r="E10" s="18" t="s">
        <v>41</v>
      </c>
      <c r="F10" s="18"/>
      <c r="G10" s="18"/>
      <c r="H10" s="18"/>
      <c r="I10" s="18"/>
      <c r="J10" s="18"/>
      <c r="K10" s="18"/>
    </row>
    <row r="11" spans="1:14">
      <c r="B11" s="31" t="s">
        <v>42</v>
      </c>
      <c r="C11" s="31"/>
      <c r="D11" s="31"/>
      <c r="E11" s="20" t="s">
        <v>43</v>
      </c>
      <c r="F11" s="20"/>
      <c r="G11" s="20"/>
      <c r="H11" s="20"/>
      <c r="I11" s="20"/>
      <c r="J11" s="20"/>
      <c r="K11" s="20"/>
    </row>
    <row r="12" spans="1:14">
      <c r="B12" s="30" t="s">
        <v>44</v>
      </c>
      <c r="C12" s="30"/>
      <c r="D12" s="30"/>
      <c r="E12" s="18" t="s">
        <v>45</v>
      </c>
      <c r="F12" s="18"/>
      <c r="G12" s="18"/>
      <c r="H12" s="18"/>
      <c r="I12" s="18"/>
      <c r="J12" s="18"/>
      <c r="K12" s="18"/>
    </row>
    <row r="13" spans="1:14">
      <c r="B13" s="31" t="s">
        <v>46</v>
      </c>
      <c r="C13" s="31"/>
      <c r="D13" s="31"/>
      <c r="E13" s="20" t="s">
        <v>47</v>
      </c>
      <c r="F13" s="20"/>
      <c r="G13" s="20"/>
      <c r="H13" s="20"/>
      <c r="I13" s="20"/>
      <c r="J13" s="20"/>
      <c r="K13" s="20"/>
    </row>
    <row r="14" spans="1:14">
      <c r="B14" s="30" t="s">
        <v>48</v>
      </c>
      <c r="C14" s="30"/>
      <c r="D14" s="30"/>
      <c r="E14" s="18" t="s">
        <v>49</v>
      </c>
      <c r="F14" s="18"/>
      <c r="G14" s="18"/>
      <c r="H14" s="18"/>
      <c r="I14" s="18"/>
      <c r="J14" s="18"/>
      <c r="K14" s="18"/>
    </row>
    <row r="15" spans="1:14">
      <c r="B15" s="31" t="s">
        <v>50</v>
      </c>
      <c r="C15" s="31"/>
      <c r="D15" s="31"/>
      <c r="E15" s="20" t="s">
        <v>51</v>
      </c>
      <c r="F15" s="20"/>
      <c r="G15" s="20"/>
      <c r="H15" s="20"/>
      <c r="I15" s="20"/>
      <c r="J15" s="20"/>
      <c r="K15" s="20"/>
    </row>
    <row r="16" spans="1:14">
      <c r="B16" s="30" t="s">
        <v>52</v>
      </c>
      <c r="C16" s="30"/>
      <c r="D16" s="30"/>
      <c r="E16" s="18" t="s">
        <v>53</v>
      </c>
      <c r="F16" s="18"/>
      <c r="G16" s="18"/>
      <c r="H16" s="18"/>
      <c r="I16" s="18"/>
      <c r="J16" s="18"/>
      <c r="K16" s="18"/>
    </row>
    <row r="17" spans="2:11">
      <c r="B17" s="31" t="s">
        <v>54</v>
      </c>
      <c r="C17" s="31"/>
      <c r="D17" s="31"/>
      <c r="E17" s="20" t="s">
        <v>55</v>
      </c>
      <c r="F17" s="20"/>
      <c r="G17" s="20"/>
      <c r="H17" s="20"/>
      <c r="I17" s="20"/>
      <c r="J17" s="20"/>
      <c r="K17" s="20"/>
    </row>
    <row r="18" spans="2:11">
      <c r="B18" s="30" t="s">
        <v>56</v>
      </c>
      <c r="C18" s="30"/>
      <c r="D18" s="30"/>
      <c r="E18" s="18" t="s">
        <v>57</v>
      </c>
      <c r="F18" s="18"/>
      <c r="G18" s="18"/>
      <c r="H18" s="18"/>
      <c r="I18" s="18"/>
      <c r="J18" s="18"/>
      <c r="K18" s="18"/>
    </row>
    <row r="19" spans="2:11">
      <c r="B19" s="31" t="s">
        <v>58</v>
      </c>
      <c r="C19" s="31"/>
      <c r="D19" s="31"/>
      <c r="E19" s="20" t="s">
        <v>59</v>
      </c>
      <c r="F19" s="20"/>
      <c r="G19" s="20"/>
      <c r="H19" s="20"/>
      <c r="I19" s="20"/>
      <c r="J19" s="20"/>
      <c r="K19" s="20"/>
    </row>
    <row r="20" spans="2:11">
      <c r="B20" s="30" t="s">
        <v>60</v>
      </c>
      <c r="C20" s="30"/>
      <c r="D20" s="30"/>
      <c r="E20" s="18" t="s">
        <v>61</v>
      </c>
      <c r="F20" s="18"/>
      <c r="G20" s="18"/>
      <c r="H20" s="18"/>
      <c r="I20" s="18"/>
      <c r="J20" s="18"/>
      <c r="K20" s="18"/>
    </row>
    <row r="21" spans="2:11">
      <c r="B21" s="31" t="s">
        <v>62</v>
      </c>
      <c r="C21" s="31"/>
      <c r="D21" s="31"/>
      <c r="E21" s="20" t="s">
        <v>63</v>
      </c>
      <c r="F21" s="20"/>
      <c r="G21" s="20"/>
      <c r="H21" s="20"/>
      <c r="I21" s="20"/>
      <c r="J21" s="20"/>
      <c r="K21" s="20"/>
    </row>
    <row r="22" spans="2:11">
      <c r="B22" s="30" t="s">
        <v>64</v>
      </c>
      <c r="C22" s="30"/>
      <c r="D22" s="30"/>
      <c r="E22" s="18" t="s">
        <v>63</v>
      </c>
      <c r="F22" s="18"/>
      <c r="G22" s="18"/>
      <c r="H22" s="18"/>
      <c r="I22" s="18"/>
      <c r="J22" s="18"/>
      <c r="K22" s="18"/>
    </row>
    <row r="23" spans="2:11">
      <c r="B23" s="31" t="s">
        <v>65</v>
      </c>
      <c r="C23" s="31"/>
      <c r="D23" s="31"/>
      <c r="E23" s="20" t="s">
        <v>66</v>
      </c>
      <c r="F23" s="20"/>
      <c r="G23" s="20"/>
      <c r="H23" s="20"/>
      <c r="I23" s="20"/>
      <c r="J23" s="20"/>
      <c r="K23" s="20"/>
    </row>
    <row r="24" spans="2:11">
      <c r="B24" s="30" t="s">
        <v>67</v>
      </c>
      <c r="C24" s="30"/>
      <c r="D24" s="30"/>
      <c r="E24" s="18" t="s">
        <v>68</v>
      </c>
      <c r="F24" s="18"/>
      <c r="G24" s="18"/>
      <c r="H24" s="18"/>
      <c r="I24" s="18"/>
      <c r="J24" s="18"/>
      <c r="K24" s="18"/>
    </row>
    <row r="25" spans="2:11">
      <c r="B25" s="32" t="s">
        <v>69</v>
      </c>
      <c r="C25" s="32"/>
      <c r="D25" s="32"/>
      <c r="E25" s="33" t="s">
        <v>70</v>
      </c>
      <c r="F25" s="33"/>
      <c r="G25" s="33"/>
      <c r="H25" s="33"/>
      <c r="I25" s="33"/>
      <c r="J25" s="33"/>
      <c r="K25" s="33"/>
    </row>
    <row r="26" spans="2:11">
      <c r="B26" s="32" t="s">
        <v>71</v>
      </c>
      <c r="C26" s="32"/>
      <c r="D26" s="32"/>
      <c r="E26" s="33" t="s">
        <v>72</v>
      </c>
      <c r="F26" s="33"/>
      <c r="G26" s="33"/>
      <c r="H26" s="33"/>
      <c r="I26" s="33"/>
      <c r="J26" s="33"/>
      <c r="K26" s="33"/>
    </row>
    <row r="27" spans="2:11">
      <c r="B27" s="34" t="s">
        <v>73</v>
      </c>
      <c r="C27" s="34"/>
      <c r="D27" s="34"/>
      <c r="E27" s="34"/>
      <c r="F27" s="34"/>
      <c r="G27" s="34"/>
      <c r="H27" s="34"/>
      <c r="I27" s="34"/>
      <c r="J27" s="34"/>
      <c r="K27" s="34"/>
    </row>
    <row r="28" spans="2:11">
      <c r="B28" s="34"/>
      <c r="C28" s="34"/>
      <c r="D28" s="34"/>
      <c r="E28" s="34"/>
      <c r="F28" s="34"/>
      <c r="G28" s="34"/>
      <c r="H28" s="34"/>
      <c r="I28" s="34"/>
      <c r="J28" s="34"/>
      <c r="K28" s="34"/>
    </row>
  </sheetData>
  <sheetProtection algorithmName="SHA-512" hashValue="rucbGyfWyBByXuTKLohNYoKhjTVKZ0VkRBEKy/4q6YsMM2/yJa3hMr+iLkPBeWmQV/XCTdgn/FAkv/FiP6mnZA==" saltValue="Q1WZUHcoPZgUSzug6ZA6qQ==" spinCount="100000" sheet="1" objects="1" scenarios="1" formatCells="0" formatColumns="0" formatRows="0" insertColumns="0" sort="0" autoFilter="0" pivotTables="0"/>
  <mergeCells count="45">
    <mergeCell ref="M6:N8"/>
    <mergeCell ref="M9:N9"/>
    <mergeCell ref="B24:D24"/>
    <mergeCell ref="E24:K24"/>
    <mergeCell ref="B27:K28"/>
    <mergeCell ref="B25:D25"/>
    <mergeCell ref="E25:K25"/>
    <mergeCell ref="B26:D26"/>
    <mergeCell ref="E26:K26"/>
    <mergeCell ref="B21:D21"/>
    <mergeCell ref="E21:K21"/>
    <mergeCell ref="B22:D22"/>
    <mergeCell ref="E22:K22"/>
    <mergeCell ref="B23:D23"/>
    <mergeCell ref="E23:K23"/>
    <mergeCell ref="B18:D18"/>
    <mergeCell ref="E18:K18"/>
    <mergeCell ref="B19:D19"/>
    <mergeCell ref="E19:K19"/>
    <mergeCell ref="B20:D20"/>
    <mergeCell ref="E20:K20"/>
    <mergeCell ref="B15:D15"/>
    <mergeCell ref="E15:K15"/>
    <mergeCell ref="B16:D16"/>
    <mergeCell ref="E16:K16"/>
    <mergeCell ref="B17:D17"/>
    <mergeCell ref="E17:K17"/>
    <mergeCell ref="B12:D12"/>
    <mergeCell ref="E12:K12"/>
    <mergeCell ref="B13:D13"/>
    <mergeCell ref="E13:K13"/>
    <mergeCell ref="B14:D14"/>
    <mergeCell ref="E14:K14"/>
    <mergeCell ref="B9:D9"/>
    <mergeCell ref="E9:K9"/>
    <mergeCell ref="B10:D10"/>
    <mergeCell ref="E10:K10"/>
    <mergeCell ref="B11:D11"/>
    <mergeCell ref="E11:K11"/>
    <mergeCell ref="B4:K5"/>
    <mergeCell ref="B1:K3"/>
    <mergeCell ref="B7:D7"/>
    <mergeCell ref="E7:K7"/>
    <mergeCell ref="B8:D8"/>
    <mergeCell ref="E8:K8"/>
  </mergeCells>
  <hyperlinks>
    <hyperlink ref="M9" r:id="rId1" xr:uid="{88A72326-39B3-44D2-8BFA-91245C4E0D43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workbookViewId="0">
      <pane ySplit="7" topLeftCell="A8" activePane="bottomLeft" state="frozen"/>
      <selection pane="bottomLeft" activeCell="M24" sqref="M24"/>
    </sheetView>
  </sheetViews>
  <sheetFormatPr baseColWidth="10" defaultColWidth="8.796875" defaultRowHeight="13.8"/>
  <cols>
    <col min="1" max="1" width="4" style="14" customWidth="1"/>
    <col min="2" max="2" width="20.59765625" style="14" bestFit="1" customWidth="1"/>
    <col min="3" max="3" width="6.5" style="14" bestFit="1" customWidth="1"/>
    <col min="4" max="11" width="12" style="14" customWidth="1"/>
    <col min="12" max="12" width="3" style="14" customWidth="1"/>
    <col min="13" max="13" width="47.59765625" style="14" customWidth="1"/>
    <col min="14" max="14" width="50.796875" style="14" customWidth="1"/>
    <col min="15" max="16384" width="8.796875" style="14"/>
  </cols>
  <sheetData>
    <row r="1" spans="1:14">
      <c r="A1" s="12"/>
      <c r="B1" s="35" t="s">
        <v>74</v>
      </c>
      <c r="C1" s="35"/>
      <c r="D1" s="35"/>
      <c r="E1" s="35"/>
      <c r="F1" s="35"/>
      <c r="G1" s="35"/>
      <c r="H1" s="35"/>
      <c r="I1" s="35"/>
      <c r="J1" s="35"/>
      <c r="K1" s="35"/>
    </row>
    <row r="2" spans="1:14">
      <c r="A2" s="12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4">
      <c r="A3" s="12"/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4">
      <c r="A4" s="15"/>
      <c r="B4" s="36" t="s">
        <v>75</v>
      </c>
      <c r="C4" s="36"/>
      <c r="D4" s="36"/>
      <c r="E4" s="36"/>
      <c r="F4" s="36"/>
      <c r="G4" s="36"/>
      <c r="H4" s="36"/>
      <c r="I4" s="36"/>
      <c r="J4" s="36"/>
      <c r="K4" s="36"/>
    </row>
    <row r="5" spans="1:14">
      <c r="A5" s="15"/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4" ht="14.4" thickBot="1"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4" ht="24.6" customHeight="1">
      <c r="B7" s="38" t="s">
        <v>76</v>
      </c>
      <c r="C7" s="38"/>
      <c r="D7" s="38"/>
      <c r="E7" s="38"/>
      <c r="F7" s="38"/>
      <c r="G7" s="38"/>
      <c r="H7" s="38"/>
      <c r="I7" s="38"/>
      <c r="J7" s="38"/>
      <c r="K7" s="38"/>
      <c r="M7" s="22" t="s">
        <v>133</v>
      </c>
      <c r="N7" s="23"/>
    </row>
    <row r="8" spans="1:14" ht="24.6" customHeight="1">
      <c r="B8" s="39" t="s">
        <v>38</v>
      </c>
      <c r="C8" s="40">
        <v>10000</v>
      </c>
      <c r="D8" s="41" t="s">
        <v>77</v>
      </c>
      <c r="E8" s="41"/>
      <c r="F8" s="41"/>
      <c r="G8" s="41"/>
      <c r="H8" s="41"/>
      <c r="I8" s="41"/>
      <c r="J8" s="41"/>
      <c r="K8" s="41"/>
      <c r="M8" s="24"/>
      <c r="N8" s="25"/>
    </row>
    <row r="9" spans="1:14" ht="24.6" customHeight="1" thickBot="1">
      <c r="B9" s="39" t="s">
        <v>40</v>
      </c>
      <c r="C9" s="42">
        <v>0.03</v>
      </c>
      <c r="D9" s="41" t="s">
        <v>78</v>
      </c>
      <c r="E9" s="41"/>
      <c r="F9" s="41"/>
      <c r="G9" s="41"/>
      <c r="H9" s="41"/>
      <c r="I9" s="41"/>
      <c r="J9" s="41"/>
      <c r="K9" s="41"/>
      <c r="M9" s="26"/>
      <c r="N9" s="27"/>
    </row>
    <row r="10" spans="1:14" ht="17.399999999999999" thickBot="1">
      <c r="B10" s="39" t="s">
        <v>42</v>
      </c>
      <c r="C10" s="42">
        <v>0.38</v>
      </c>
      <c r="D10" s="41" t="s">
        <v>79</v>
      </c>
      <c r="E10" s="41"/>
      <c r="F10" s="41"/>
      <c r="G10" s="41"/>
      <c r="H10" s="41"/>
      <c r="I10" s="41"/>
      <c r="J10" s="41"/>
      <c r="K10" s="41"/>
      <c r="M10" s="28" t="s">
        <v>134</v>
      </c>
      <c r="N10" s="29"/>
    </row>
    <row r="11" spans="1:14">
      <c r="B11" s="39" t="s">
        <v>80</v>
      </c>
      <c r="C11" s="43">
        <v>10</v>
      </c>
      <c r="D11" s="41" t="s">
        <v>81</v>
      </c>
      <c r="E11" s="41"/>
      <c r="F11" s="41"/>
      <c r="G11" s="41"/>
      <c r="H11" s="41"/>
      <c r="I11" s="41"/>
      <c r="J11" s="41"/>
      <c r="K11" s="41"/>
    </row>
    <row r="12" spans="1:14">
      <c r="B12" s="39" t="s">
        <v>82</v>
      </c>
      <c r="C12" s="44" t="s">
        <v>83</v>
      </c>
      <c r="D12" s="44"/>
      <c r="E12" s="44"/>
      <c r="F12" s="44"/>
      <c r="G12" s="41" t="s">
        <v>84</v>
      </c>
      <c r="H12" s="41"/>
      <c r="I12" s="41"/>
      <c r="J12" s="41"/>
      <c r="K12" s="41"/>
    </row>
    <row r="13" spans="1:14"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14">
      <c r="B14" s="38" t="s">
        <v>85</v>
      </c>
      <c r="C14" s="38"/>
      <c r="D14" s="38"/>
      <c r="E14" s="38"/>
      <c r="F14" s="38"/>
      <c r="G14" s="38"/>
      <c r="H14" s="38"/>
      <c r="I14" s="38"/>
      <c r="J14" s="38"/>
      <c r="K14" s="38"/>
    </row>
    <row r="15" spans="1:14">
      <c r="B15" s="39" t="s">
        <v>86</v>
      </c>
      <c r="C15" s="45" t="str">
        <f>IF(COUNT(C8:C11)&lt;&gt;4,"REVISAR ENTRADAS",IF(NOT(ISTEXT(C12)),"REVISAR ENTRADAS",IF(LEN(TRIM(C12))=0,"REVISAR ENTRADAS",IF(AND(C8&gt;=1,C8=INT(C8),C8&lt;=100000000,C9&gt;=0.0001,C9&lt;=1,C10&gt;=0,C10&lt;=1,C11&gt;=1,C11=INT(C11),C11&lt;=20),"LISTO","REVISAR ENTRADAS"))))</f>
        <v>LISTO</v>
      </c>
      <c r="D15" s="41" t="s">
        <v>87</v>
      </c>
      <c r="E15" s="41"/>
      <c r="F15" s="41"/>
      <c r="G15" s="41"/>
      <c r="H15" s="41"/>
      <c r="I15" s="41"/>
      <c r="J15" s="41"/>
      <c r="K15" s="41"/>
    </row>
    <row r="16" spans="1:14">
      <c r="B16" s="39" t="s">
        <v>88</v>
      </c>
      <c r="C16" s="46">
        <f>IF(C15&lt;&gt;"LISTO","",IF(C10&gt;C9,LN(C10/C9)/(C9+C10),0))</f>
        <v>6.1926191977031122</v>
      </c>
      <c r="D16" s="41" t="s">
        <v>89</v>
      </c>
      <c r="E16" s="41"/>
      <c r="F16" s="41"/>
      <c r="G16" s="41"/>
      <c r="H16" s="41"/>
      <c r="I16" s="41"/>
      <c r="J16" s="41"/>
      <c r="K16" s="41"/>
    </row>
    <row r="17" spans="2:11"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spans="2:11"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2:11">
      <c r="B19" s="38" t="s">
        <v>90</v>
      </c>
      <c r="C19" s="38"/>
      <c r="D19" s="38"/>
      <c r="E19" s="38"/>
      <c r="F19" s="38"/>
      <c r="G19" s="38"/>
      <c r="H19" s="38"/>
      <c r="I19" s="38"/>
      <c r="J19" s="38"/>
      <c r="K19" s="38"/>
    </row>
    <row r="20" spans="2:11"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2:11">
      <c r="B21" s="47" t="s">
        <v>91</v>
      </c>
      <c r="C21" s="47"/>
      <c r="D21" s="47"/>
      <c r="E21" s="47"/>
      <c r="F21" s="47"/>
      <c r="G21" s="47"/>
      <c r="H21" s="47"/>
      <c r="I21" s="47"/>
      <c r="J21" s="47"/>
      <c r="K21" s="47"/>
    </row>
    <row r="22" spans="2:11">
      <c r="B22" s="48" t="s">
        <v>92</v>
      </c>
      <c r="C22" s="48"/>
      <c r="D22" s="48"/>
      <c r="E22" s="48"/>
      <c r="F22" s="48"/>
      <c r="G22" s="48"/>
      <c r="H22" s="48"/>
      <c r="I22" s="48"/>
      <c r="J22" s="48"/>
      <c r="K22" s="48"/>
    </row>
    <row r="23" spans="2:11">
      <c r="B23" s="47" t="s">
        <v>93</v>
      </c>
      <c r="C23" s="47"/>
      <c r="D23" s="47"/>
      <c r="E23" s="47"/>
      <c r="F23" s="47"/>
      <c r="G23" s="47"/>
      <c r="H23" s="47"/>
      <c r="I23" s="47"/>
      <c r="J23" s="47"/>
      <c r="K23" s="47"/>
    </row>
    <row r="24" spans="2:11">
      <c r="B24" s="48" t="s">
        <v>94</v>
      </c>
      <c r="C24" s="48"/>
      <c r="D24" s="48"/>
      <c r="E24" s="48"/>
      <c r="F24" s="48"/>
      <c r="G24" s="48"/>
      <c r="H24" s="48"/>
      <c r="I24" s="48"/>
      <c r="J24" s="48"/>
      <c r="K24" s="48"/>
    </row>
    <row r="25" spans="2:11">
      <c r="B25" s="47" t="s">
        <v>95</v>
      </c>
      <c r="C25" s="47"/>
      <c r="D25" s="47"/>
      <c r="E25" s="47"/>
      <c r="F25" s="47"/>
      <c r="G25" s="47"/>
      <c r="H25" s="47"/>
      <c r="I25" s="47"/>
      <c r="J25" s="47"/>
      <c r="K25" s="47"/>
    </row>
  </sheetData>
  <sheetProtection algorithmName="SHA-512" hashValue="SFaYRQoI7PjF/gNKOVdtpR/j3QhTovG8ZxM/aIX7+pPF6KAbUUl6MvQWSyHEKx21Msyz8tOBE5P+xtTIm6Q0Dw==" saltValue="VRxxT1wPXwHXa4rOyw2VBQ==" spinCount="100000" sheet="1" objects="1" scenarios="1" formatCells="0" formatColumns="0" formatRows="0" insertColumns="0" sort="0" autoFilter="0" pivotTables="0"/>
  <mergeCells count="20">
    <mergeCell ref="B23:K23"/>
    <mergeCell ref="B24:K24"/>
    <mergeCell ref="B25:K25"/>
    <mergeCell ref="M7:N9"/>
    <mergeCell ref="M10:N10"/>
    <mergeCell ref="D15:K15"/>
    <mergeCell ref="D16:K16"/>
    <mergeCell ref="B19:K19"/>
    <mergeCell ref="B21:K21"/>
    <mergeCell ref="B22:K22"/>
    <mergeCell ref="D10:K10"/>
    <mergeCell ref="D11:K11"/>
    <mergeCell ref="C12:F12"/>
    <mergeCell ref="G12:K12"/>
    <mergeCell ref="B14:K14"/>
    <mergeCell ref="B4:K5"/>
    <mergeCell ref="B1:K3"/>
    <mergeCell ref="B7:K7"/>
    <mergeCell ref="D8:K8"/>
    <mergeCell ref="D9:K9"/>
  </mergeCells>
  <conditionalFormatting sqref="C15">
    <cfRule type="expression" dxfId="5" priority="1">
      <formula>$C$15="REVISAR ENTRADAS"</formula>
    </cfRule>
    <cfRule type="expression" dxfId="4" priority="2">
      <formula>$C$15="LISTO"</formula>
    </cfRule>
  </conditionalFormatting>
  <dataValidations count="4">
    <dataValidation type="whole" showErrorMessage="1" errorTitle="Dato fuera de rango" error="Escribe un mercado potencial entero entre 1 y 100000000." sqref="C8" xr:uid="{00000000-0002-0000-0200-000000000000}">
      <formula1>1</formula1>
      <formula2>100000000</formula2>
    </dataValidation>
    <dataValidation type="decimal" showErrorMessage="1" errorTitle="Dato fuera de rango" error="Escribe un coeficiente p entre 0.0001 y 1." sqref="C9" xr:uid="{00000000-0002-0000-0200-000001000000}">
      <formula1>0.0001</formula1>
      <formula2>1</formula2>
    </dataValidation>
    <dataValidation type="decimal" showErrorMessage="1" errorTitle="Dato fuera de rango" error="Escribe un coeficiente q entre 0 y 1." sqref="C10" xr:uid="{00000000-0002-0000-0200-000002000000}">
      <formula1>0</formula1>
      <formula2>1</formula2>
    </dataValidation>
    <dataValidation type="whole" showErrorMessage="1" errorTitle="Dato fuera de rango" error="Escribe un horizonte anual entre 1 y 20." sqref="C11" xr:uid="{00000000-0002-0000-0200-000003000000}">
      <formula1>1</formula1>
      <formula2>20</formula2>
    </dataValidation>
  </dataValidations>
  <hyperlinks>
    <hyperlink ref="M10" r:id="rId1" xr:uid="{BF329C60-1B24-4C9E-8626-5ABAA520D50B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9"/>
  <sheetViews>
    <sheetView workbookViewId="0">
      <pane ySplit="11" topLeftCell="A14" activePane="bottomLeft" state="frozen"/>
      <selection pane="bottomLeft" activeCell="B1" sqref="B1:H39"/>
    </sheetView>
  </sheetViews>
  <sheetFormatPr baseColWidth="10" defaultColWidth="8.796875" defaultRowHeight="13.8"/>
  <cols>
    <col min="1" max="1" width="4" style="14" customWidth="1"/>
    <col min="2" max="2" width="12" style="14" customWidth="1"/>
    <col min="3" max="4" width="20" style="14" customWidth="1"/>
    <col min="5" max="7" width="18" style="14" customWidth="1"/>
    <col min="8" max="8" width="22" style="14" customWidth="1"/>
    <col min="9" max="9" width="2.19921875" style="14" customWidth="1"/>
    <col min="10" max="10" width="28.3984375" style="14" customWidth="1"/>
    <col min="11" max="11" width="66.59765625" style="14" customWidth="1"/>
    <col min="12" max="16384" width="8.796875" style="14"/>
  </cols>
  <sheetData>
    <row r="1" spans="1:11">
      <c r="A1" s="12"/>
      <c r="B1" s="35" t="s">
        <v>96</v>
      </c>
      <c r="C1" s="35"/>
      <c r="D1" s="35"/>
      <c r="E1" s="35"/>
      <c r="F1" s="35"/>
      <c r="G1" s="35"/>
      <c r="H1" s="35"/>
    </row>
    <row r="2" spans="1:11">
      <c r="A2" s="12"/>
      <c r="B2" s="35"/>
      <c r="C2" s="35"/>
      <c r="D2" s="35"/>
      <c r="E2" s="35"/>
      <c r="F2" s="35"/>
      <c r="G2" s="35"/>
      <c r="H2" s="35"/>
    </row>
    <row r="3" spans="1:11">
      <c r="A3" s="12"/>
      <c r="B3" s="35"/>
      <c r="C3" s="35"/>
      <c r="D3" s="35"/>
      <c r="E3" s="35"/>
      <c r="F3" s="35"/>
      <c r="G3" s="35"/>
      <c r="H3" s="35"/>
    </row>
    <row r="4" spans="1:11">
      <c r="A4" s="15"/>
      <c r="B4" s="36" t="s">
        <v>97</v>
      </c>
      <c r="C4" s="36"/>
      <c r="D4" s="36"/>
      <c r="E4" s="36"/>
      <c r="F4" s="36"/>
      <c r="G4" s="36"/>
      <c r="H4" s="36"/>
    </row>
    <row r="5" spans="1:11">
      <c r="A5" s="15"/>
      <c r="B5" s="36"/>
      <c r="C5" s="36"/>
      <c r="D5" s="36"/>
      <c r="E5" s="36"/>
      <c r="F5" s="36"/>
      <c r="G5" s="36"/>
      <c r="H5" s="36"/>
    </row>
    <row r="6" spans="1:11" ht="14.4" thickBot="1">
      <c r="B6" s="37"/>
      <c r="C6" s="37"/>
      <c r="D6" s="37"/>
      <c r="E6" s="37"/>
      <c r="F6" s="37"/>
      <c r="G6" s="37"/>
      <c r="H6" s="37"/>
    </row>
    <row r="7" spans="1:11" ht="25.2" customHeight="1">
      <c r="B7" s="38" t="s">
        <v>98</v>
      </c>
      <c r="C7" s="38"/>
      <c r="D7" s="38"/>
      <c r="E7" s="38"/>
      <c r="F7" s="38"/>
      <c r="G7" s="38"/>
      <c r="H7" s="38"/>
      <c r="J7" s="22" t="s">
        <v>133</v>
      </c>
      <c r="K7" s="23"/>
    </row>
    <row r="8" spans="1:11" ht="25.2" customHeight="1">
      <c r="B8" s="49" t="s">
        <v>99</v>
      </c>
      <c r="C8" s="49"/>
      <c r="D8" s="49"/>
      <c r="E8" s="49"/>
      <c r="F8" s="49"/>
      <c r="G8" s="49"/>
      <c r="H8" s="49"/>
      <c r="J8" s="24"/>
      <c r="K8" s="25"/>
    </row>
    <row r="9" spans="1:11" ht="25.2" customHeight="1" thickBot="1">
      <c r="B9" s="49"/>
      <c r="C9" s="49"/>
      <c r="D9" s="49"/>
      <c r="E9" s="49"/>
      <c r="F9" s="49"/>
      <c r="G9" s="49"/>
      <c r="H9" s="49"/>
      <c r="J9" s="26"/>
      <c r="K9" s="27"/>
    </row>
    <row r="10" spans="1:11" ht="17.399999999999999" thickBot="1">
      <c r="B10" s="37"/>
      <c r="C10" s="37"/>
      <c r="D10" s="37"/>
      <c r="E10" s="37"/>
      <c r="F10" s="37"/>
      <c r="G10" s="37"/>
      <c r="H10" s="37"/>
      <c r="J10" s="28" t="s">
        <v>134</v>
      </c>
      <c r="K10" s="29"/>
    </row>
    <row r="11" spans="1:11">
      <c r="B11" s="50" t="s">
        <v>100</v>
      </c>
      <c r="C11" s="50" t="s">
        <v>101</v>
      </c>
      <c r="D11" s="50" t="s">
        <v>50</v>
      </c>
      <c r="E11" s="50" t="s">
        <v>52</v>
      </c>
      <c r="F11" s="50" t="s">
        <v>54</v>
      </c>
      <c r="G11" s="50" t="s">
        <v>69</v>
      </c>
      <c r="H11" s="50" t="s">
        <v>102</v>
      </c>
    </row>
    <row r="12" spans="1:11">
      <c r="B12" s="51">
        <v>0</v>
      </c>
      <c r="C12" s="52">
        <v>0</v>
      </c>
      <c r="D12" s="52">
        <v>0</v>
      </c>
      <c r="E12" s="53">
        <v>0</v>
      </c>
      <c r="F12" s="52">
        <f>IF('03 Parametros'!$C$15="LISTO",'03 Parametros'!$C$8,"")</f>
        <v>10000</v>
      </c>
      <c r="G12" s="53"/>
      <c r="H12" s="51" t="s">
        <v>103</v>
      </c>
    </row>
    <row r="13" spans="1:11">
      <c r="B13" s="54">
        <f>IF(AND('03 Parametros'!$C$15="LISTO",1&lt;='03 Parametros'!$C$11),1,"")</f>
        <v>1</v>
      </c>
      <c r="C13" s="55">
        <f>IF(B13="","",'03 Parametros'!$C$8*(1-EXP(-('03 Parametros'!$C$9+'03 Parametros'!$C$10)*B13))/(1+('03 Parametros'!$C$10/'03 Parametros'!$C$9)*EXP(-('03 Parametros'!$C$9+'03 Parametros'!$C$10)*B13)))</f>
        <v>357.5816425644162</v>
      </c>
      <c r="D13" s="55">
        <f t="shared" ref="D13:D32" si="0">IF(C13="","",C13-C12)</f>
        <v>357.5816425644162</v>
      </c>
      <c r="E13" s="56">
        <f>IF(C13="","",C13/'03 Parametros'!$C$8)</f>
        <v>3.575816425644162E-2</v>
      </c>
      <c r="F13" s="55">
        <f>IF(C13="","",'03 Parametros'!$C$8-C13)</f>
        <v>9642.4183574355829</v>
      </c>
      <c r="G13" s="56" t="str">
        <f t="shared" ref="G13:G32" si="1">IF(OR(D13="",D12="",D12=0),"",D13/D12-1)</f>
        <v/>
      </c>
      <c r="H13" s="54" t="str">
        <f t="shared" ref="H13:H32" si="2">IF(D13="","",IF(D13=MAX($D$13:$D$32),"Mayor año",IF(B13=1,"Inicio",IF(D13&gt;D12,"Aceleración","Desaceleración"))))</f>
        <v>Inicio</v>
      </c>
    </row>
    <row r="14" spans="1:11">
      <c r="B14" s="54">
        <f>IF(AND('03 Parametros'!$C$15="LISTO",2&lt;='03 Parametros'!$C$11),2,"")</f>
        <v>2</v>
      </c>
      <c r="C14" s="55">
        <f>IF(B14="","",'03 Parametros'!$C$8*(1-EXP(-('03 Parametros'!$C$9+'03 Parametros'!$C$10)*B14))/(1+('03 Parametros'!$C$10/'03 Parametros'!$C$9)*EXP(-('03 Parametros'!$C$9+'03 Parametros'!$C$10)*B14)))</f>
        <v>850.56281402182162</v>
      </c>
      <c r="D14" s="55">
        <f t="shared" si="0"/>
        <v>492.98117145740542</v>
      </c>
      <c r="E14" s="56">
        <f>IF(C14="","",C14/'03 Parametros'!$C$8)</f>
        <v>8.505628140218216E-2</v>
      </c>
      <c r="F14" s="55">
        <f>IF(C14="","",'03 Parametros'!$C$8-C14)</f>
        <v>9149.4371859781786</v>
      </c>
      <c r="G14" s="56">
        <f t="shared" si="1"/>
        <v>0.37865346756048246</v>
      </c>
      <c r="H14" s="54" t="str">
        <f t="shared" si="2"/>
        <v>Aceleración</v>
      </c>
    </row>
    <row r="15" spans="1:11">
      <c r="B15" s="54">
        <f>IF(AND('03 Parametros'!$C$15="LISTO",3&lt;='03 Parametros'!$C$11),3,"")</f>
        <v>3</v>
      </c>
      <c r="C15" s="55">
        <f>IF(B15="","",'03 Parametros'!$C$8*(1-EXP(-('03 Parametros'!$C$9+'03 Parametros'!$C$10)*B15))/(1+('03 Parametros'!$C$10/'03 Parametros'!$C$9)*EXP(-('03 Parametros'!$C$9+'03 Parametros'!$C$10)*B15)))</f>
        <v>1505.0007196371294</v>
      </c>
      <c r="D15" s="55">
        <f t="shared" si="0"/>
        <v>654.43790561530773</v>
      </c>
      <c r="E15" s="56">
        <f>IF(C15="","",C15/'03 Parametros'!$C$8)</f>
        <v>0.15050007196371293</v>
      </c>
      <c r="F15" s="55">
        <f>IF(C15="","",'03 Parametros'!$C$8-C15)</f>
        <v>8494.9992803628702</v>
      </c>
      <c r="G15" s="56">
        <f t="shared" si="1"/>
        <v>0.32751095479080083</v>
      </c>
      <c r="H15" s="54" t="str">
        <f t="shared" si="2"/>
        <v>Aceleración</v>
      </c>
    </row>
    <row r="16" spans="1:11">
      <c r="B16" s="54">
        <f>IF(AND('03 Parametros'!$C$15="LISTO",4&lt;='03 Parametros'!$C$11),4,"")</f>
        <v>4</v>
      </c>
      <c r="C16" s="55">
        <f>IF(B16="","",'03 Parametros'!$C$8*(1-EXP(-('03 Parametros'!$C$9+'03 Parametros'!$C$10)*B16))/(1+('03 Parametros'!$C$10/'03 Parametros'!$C$9)*EXP(-('03 Parametros'!$C$9+'03 Parametros'!$C$10)*B16)))</f>
        <v>2331.5047173163007</v>
      </c>
      <c r="D16" s="55">
        <f t="shared" si="0"/>
        <v>826.50399767917133</v>
      </c>
      <c r="E16" s="56">
        <f>IF(C16="","",C16/'03 Parametros'!$C$8)</f>
        <v>0.23315047173163006</v>
      </c>
      <c r="F16" s="55">
        <f>IF(C16="","",'03 Parametros'!$C$8-C16)</f>
        <v>7668.4952826836998</v>
      </c>
      <c r="G16" s="56">
        <f t="shared" si="1"/>
        <v>0.26292195269784324</v>
      </c>
      <c r="H16" s="54" t="str">
        <f t="shared" si="2"/>
        <v>Aceleración</v>
      </c>
    </row>
    <row r="17" spans="2:8">
      <c r="B17" s="54">
        <f>IF(AND('03 Parametros'!$C$15="LISTO",5&lt;='03 Parametros'!$C$11),5,"")</f>
        <v>5</v>
      </c>
      <c r="C17" s="55">
        <f>IF(B17="","",'03 Parametros'!$C$8*(1-EXP(-('03 Parametros'!$C$9+'03 Parametros'!$C$10)*B17))/(1+('03 Parametros'!$C$10/'03 Parametros'!$C$9)*EXP(-('03 Parametros'!$C$9+'03 Parametros'!$C$10)*B17)))</f>
        <v>3311.9864249137358</v>
      </c>
      <c r="D17" s="55">
        <f t="shared" si="0"/>
        <v>980.48170759743516</v>
      </c>
      <c r="E17" s="56">
        <f>IF(C17="","",C17/'03 Parametros'!$C$8)</f>
        <v>0.3311986424913736</v>
      </c>
      <c r="F17" s="55">
        <f>IF(C17="","",'03 Parametros'!$C$8-C17)</f>
        <v>6688.0135750862646</v>
      </c>
      <c r="G17" s="56">
        <f t="shared" si="1"/>
        <v>0.1863000183309873</v>
      </c>
      <c r="H17" s="54" t="str">
        <f t="shared" si="2"/>
        <v>Aceleración</v>
      </c>
    </row>
    <row r="18" spans="2:8">
      <c r="B18" s="54">
        <f>IF(AND('03 Parametros'!$C$15="LISTO",6&lt;='03 Parametros'!$C$11),6,"")</f>
        <v>6</v>
      </c>
      <c r="C18" s="55">
        <f>IF(B18="","",'03 Parametros'!$C$8*(1-EXP(-('03 Parametros'!$C$9+'03 Parametros'!$C$10)*B18))/(1+('03 Parametros'!$C$10/'03 Parametros'!$C$9)*EXP(-('03 Parametros'!$C$9+'03 Parametros'!$C$10)*B18)))</f>
        <v>4392.3521787287527</v>
      </c>
      <c r="D18" s="55">
        <f t="shared" si="0"/>
        <v>1080.3657538150169</v>
      </c>
      <c r="E18" s="56">
        <f>IF(C18="","",C18/'03 Parametros'!$C$8)</f>
        <v>0.43923521787287528</v>
      </c>
      <c r="F18" s="55">
        <f>IF(C18="","",'03 Parametros'!$C$8-C18)</f>
        <v>5607.6478212712473</v>
      </c>
      <c r="G18" s="56">
        <f t="shared" si="1"/>
        <v>0.10187242193669976</v>
      </c>
      <c r="H18" s="54" t="str">
        <f t="shared" si="2"/>
        <v>Aceleración</v>
      </c>
    </row>
    <row r="19" spans="2:8">
      <c r="B19" s="54">
        <f>IF(AND('03 Parametros'!$C$15="LISTO",7&lt;='03 Parametros'!$C$11),7,"")</f>
        <v>7</v>
      </c>
      <c r="C19" s="55">
        <f>IF(B19="","",'03 Parametros'!$C$8*(1-EXP(-('03 Parametros'!$C$9+'03 Parametros'!$C$10)*B19))/(1+('03 Parametros'!$C$10/'03 Parametros'!$C$9)*EXP(-('03 Parametros'!$C$9+'03 Parametros'!$C$10)*B19)))</f>
        <v>5490.0974165775324</v>
      </c>
      <c r="D19" s="55">
        <f t="shared" si="0"/>
        <v>1097.7452378487797</v>
      </c>
      <c r="E19" s="56">
        <f>IF(C19="","",C19/'03 Parametros'!$C$8)</f>
        <v>0.54900974165775329</v>
      </c>
      <c r="F19" s="55">
        <f>IF(C19="","",'03 Parametros'!$C$8-C19)</f>
        <v>4509.9025834224676</v>
      </c>
      <c r="G19" s="56">
        <f t="shared" si="1"/>
        <v>1.6086666920338555E-2</v>
      </c>
      <c r="H19" s="54" t="str">
        <f t="shared" si="2"/>
        <v>Mayor año</v>
      </c>
    </row>
    <row r="20" spans="2:8">
      <c r="B20" s="54">
        <f>IF(AND('03 Parametros'!$C$15="LISTO",8&lt;='03 Parametros'!$C$11),8,"")</f>
        <v>8</v>
      </c>
      <c r="C20" s="55">
        <f>IF(B20="","",'03 Parametros'!$C$8*(1-EXP(-('03 Parametros'!$C$9+'03 Parametros'!$C$10)*B20))/(1+('03 Parametros'!$C$10/'03 Parametros'!$C$9)*EXP(-('03 Parametros'!$C$9+'03 Parametros'!$C$10)*B20)))</f>
        <v>6517.3758595855006</v>
      </c>
      <c r="D20" s="55">
        <f t="shared" si="0"/>
        <v>1027.2784430079682</v>
      </c>
      <c r="E20" s="56">
        <f>IF(C20="","",C20/'03 Parametros'!$C$8)</f>
        <v>0.65173758595855003</v>
      </c>
      <c r="F20" s="55">
        <f>IF(C20="","",'03 Parametros'!$C$8-C20)</f>
        <v>3482.6241404144994</v>
      </c>
      <c r="G20" s="56">
        <f t="shared" si="1"/>
        <v>-6.4192302923493649E-2</v>
      </c>
      <c r="H20" s="54" t="str">
        <f t="shared" si="2"/>
        <v>Desaceleración</v>
      </c>
    </row>
    <row r="21" spans="2:8">
      <c r="B21" s="54">
        <f>IF(AND('03 Parametros'!$C$15="LISTO",9&lt;='03 Parametros'!$C$11),9,"")</f>
        <v>9</v>
      </c>
      <c r="C21" s="55">
        <f>IF(B21="","",'03 Parametros'!$C$8*(1-EXP(-('03 Parametros'!$C$9+'03 Parametros'!$C$10)*B21))/(1+('03 Parametros'!$C$10/'03 Parametros'!$C$9)*EXP(-('03 Parametros'!$C$9+'03 Parametros'!$C$10)*B21)))</f>
        <v>7407.2710633647603</v>
      </c>
      <c r="D21" s="55">
        <f t="shared" si="0"/>
        <v>889.89520377925965</v>
      </c>
      <c r="E21" s="56">
        <f>IF(C21="","",C21/'03 Parametros'!$C$8)</f>
        <v>0.74072710633647598</v>
      </c>
      <c r="F21" s="55">
        <f>IF(C21="","",'03 Parametros'!$C$8-C21)</f>
        <v>2592.7289366352397</v>
      </c>
      <c r="G21" s="56">
        <f t="shared" si="1"/>
        <v>-0.13373515249325929</v>
      </c>
      <c r="H21" s="54" t="str">
        <f t="shared" si="2"/>
        <v>Desaceleración</v>
      </c>
    </row>
    <row r="22" spans="2:8">
      <c r="B22" s="54">
        <f>IF(AND('03 Parametros'!$C$15="LISTO",10&lt;='03 Parametros'!$C$11),10,"")</f>
        <v>10</v>
      </c>
      <c r="C22" s="55">
        <f>IF(B22="","",'03 Parametros'!$C$8*(1-EXP(-('03 Parametros'!$C$9+'03 Parametros'!$C$10)*B22))/(1+('03 Parametros'!$C$10/'03 Parametros'!$C$9)*EXP(-('03 Parametros'!$C$9+'03 Parametros'!$C$10)*B22)))</f>
        <v>8128.0322122134621</v>
      </c>
      <c r="D22" s="55">
        <f t="shared" si="0"/>
        <v>720.76114884870185</v>
      </c>
      <c r="E22" s="56">
        <f>IF(C22="","",C22/'03 Parametros'!$C$8)</f>
        <v>0.81280322122134618</v>
      </c>
      <c r="F22" s="55">
        <f>IF(C22="","",'03 Parametros'!$C$8-C22)</f>
        <v>1871.9677877865379</v>
      </c>
      <c r="G22" s="56">
        <f t="shared" si="1"/>
        <v>-0.19006064333448391</v>
      </c>
      <c r="H22" s="54" t="str">
        <f t="shared" si="2"/>
        <v>Desaceleración</v>
      </c>
    </row>
    <row r="23" spans="2:8">
      <c r="B23" s="54" t="str">
        <f>IF(AND('03 Parametros'!$C$15="LISTO",11&lt;='03 Parametros'!$C$11),11,"")</f>
        <v/>
      </c>
      <c r="C23" s="55" t="str">
        <f>IF(B23="","",'03 Parametros'!$C$8*(1-EXP(-('03 Parametros'!$C$9+'03 Parametros'!$C$10)*B23))/(1+('03 Parametros'!$C$10/'03 Parametros'!$C$9)*EXP(-('03 Parametros'!$C$9+'03 Parametros'!$C$10)*B23)))</f>
        <v/>
      </c>
      <c r="D23" s="55" t="str">
        <f t="shared" si="0"/>
        <v/>
      </c>
      <c r="E23" s="56" t="str">
        <f>IF(C23="","",C23/'03 Parametros'!$C$8)</f>
        <v/>
      </c>
      <c r="F23" s="55" t="str">
        <f>IF(C23="","",'03 Parametros'!$C$8-C23)</f>
        <v/>
      </c>
      <c r="G23" s="56" t="str">
        <f t="shared" si="1"/>
        <v/>
      </c>
      <c r="H23" s="54" t="str">
        <f t="shared" si="2"/>
        <v/>
      </c>
    </row>
    <row r="24" spans="2:8">
      <c r="B24" s="54" t="str">
        <f>IF(AND('03 Parametros'!$C$15="LISTO",12&lt;='03 Parametros'!$C$11),12,"")</f>
        <v/>
      </c>
      <c r="C24" s="55" t="str">
        <f>IF(B24="","",'03 Parametros'!$C$8*(1-EXP(-('03 Parametros'!$C$9+'03 Parametros'!$C$10)*B24))/(1+('03 Parametros'!$C$10/'03 Parametros'!$C$9)*EXP(-('03 Parametros'!$C$9+'03 Parametros'!$C$10)*B24)))</f>
        <v/>
      </c>
      <c r="D24" s="55" t="str">
        <f t="shared" si="0"/>
        <v/>
      </c>
      <c r="E24" s="56" t="str">
        <f>IF(C24="","",C24/'03 Parametros'!$C$8)</f>
        <v/>
      </c>
      <c r="F24" s="55" t="str">
        <f>IF(C24="","",'03 Parametros'!$C$8-C24)</f>
        <v/>
      </c>
      <c r="G24" s="56" t="str">
        <f t="shared" si="1"/>
        <v/>
      </c>
      <c r="H24" s="54" t="str">
        <f t="shared" si="2"/>
        <v/>
      </c>
    </row>
    <row r="25" spans="2:8">
      <c r="B25" s="54" t="str">
        <f>IF(AND('03 Parametros'!$C$15="LISTO",13&lt;='03 Parametros'!$C$11),13,"")</f>
        <v/>
      </c>
      <c r="C25" s="55" t="str">
        <f>IF(B25="","",'03 Parametros'!$C$8*(1-EXP(-('03 Parametros'!$C$9+'03 Parametros'!$C$10)*B25))/(1+('03 Parametros'!$C$10/'03 Parametros'!$C$9)*EXP(-('03 Parametros'!$C$9+'03 Parametros'!$C$10)*B25)))</f>
        <v/>
      </c>
      <c r="D25" s="55" t="str">
        <f t="shared" si="0"/>
        <v/>
      </c>
      <c r="E25" s="56" t="str">
        <f>IF(C25="","",C25/'03 Parametros'!$C$8)</f>
        <v/>
      </c>
      <c r="F25" s="55" t="str">
        <f>IF(C25="","",'03 Parametros'!$C$8-C25)</f>
        <v/>
      </c>
      <c r="G25" s="56" t="str">
        <f t="shared" si="1"/>
        <v/>
      </c>
      <c r="H25" s="54" t="str">
        <f t="shared" si="2"/>
        <v/>
      </c>
    </row>
    <row r="26" spans="2:8">
      <c r="B26" s="54" t="str">
        <f>IF(AND('03 Parametros'!$C$15="LISTO",14&lt;='03 Parametros'!$C$11),14,"")</f>
        <v/>
      </c>
      <c r="C26" s="55" t="str">
        <f>IF(B26="","",'03 Parametros'!$C$8*(1-EXP(-('03 Parametros'!$C$9+'03 Parametros'!$C$10)*B26))/(1+('03 Parametros'!$C$10/'03 Parametros'!$C$9)*EXP(-('03 Parametros'!$C$9+'03 Parametros'!$C$10)*B26)))</f>
        <v/>
      </c>
      <c r="D26" s="55" t="str">
        <f t="shared" si="0"/>
        <v/>
      </c>
      <c r="E26" s="56" t="str">
        <f>IF(C26="","",C26/'03 Parametros'!$C$8)</f>
        <v/>
      </c>
      <c r="F26" s="55" t="str">
        <f>IF(C26="","",'03 Parametros'!$C$8-C26)</f>
        <v/>
      </c>
      <c r="G26" s="56" t="str">
        <f t="shared" si="1"/>
        <v/>
      </c>
      <c r="H26" s="54" t="str">
        <f t="shared" si="2"/>
        <v/>
      </c>
    </row>
    <row r="27" spans="2:8">
      <c r="B27" s="54" t="str">
        <f>IF(AND('03 Parametros'!$C$15="LISTO",15&lt;='03 Parametros'!$C$11),15,"")</f>
        <v/>
      </c>
      <c r="C27" s="55" t="str">
        <f>IF(B27="","",'03 Parametros'!$C$8*(1-EXP(-('03 Parametros'!$C$9+'03 Parametros'!$C$10)*B27))/(1+('03 Parametros'!$C$10/'03 Parametros'!$C$9)*EXP(-('03 Parametros'!$C$9+'03 Parametros'!$C$10)*B27)))</f>
        <v/>
      </c>
      <c r="D27" s="55" t="str">
        <f t="shared" si="0"/>
        <v/>
      </c>
      <c r="E27" s="56" t="str">
        <f>IF(C27="","",C27/'03 Parametros'!$C$8)</f>
        <v/>
      </c>
      <c r="F27" s="55" t="str">
        <f>IF(C27="","",'03 Parametros'!$C$8-C27)</f>
        <v/>
      </c>
      <c r="G27" s="56" t="str">
        <f t="shared" si="1"/>
        <v/>
      </c>
      <c r="H27" s="54" t="str">
        <f t="shared" si="2"/>
        <v/>
      </c>
    </row>
    <row r="28" spans="2:8">
      <c r="B28" s="54" t="str">
        <f>IF(AND('03 Parametros'!$C$15="LISTO",16&lt;='03 Parametros'!$C$11),16,"")</f>
        <v/>
      </c>
      <c r="C28" s="55" t="str">
        <f>IF(B28="","",'03 Parametros'!$C$8*(1-EXP(-('03 Parametros'!$C$9+'03 Parametros'!$C$10)*B28))/(1+('03 Parametros'!$C$10/'03 Parametros'!$C$9)*EXP(-('03 Parametros'!$C$9+'03 Parametros'!$C$10)*B28)))</f>
        <v/>
      </c>
      <c r="D28" s="55" t="str">
        <f t="shared" si="0"/>
        <v/>
      </c>
      <c r="E28" s="56" t="str">
        <f>IF(C28="","",C28/'03 Parametros'!$C$8)</f>
        <v/>
      </c>
      <c r="F28" s="55" t="str">
        <f>IF(C28="","",'03 Parametros'!$C$8-C28)</f>
        <v/>
      </c>
      <c r="G28" s="56" t="str">
        <f t="shared" si="1"/>
        <v/>
      </c>
      <c r="H28" s="54" t="str">
        <f t="shared" si="2"/>
        <v/>
      </c>
    </row>
    <row r="29" spans="2:8">
      <c r="B29" s="54" t="str">
        <f>IF(AND('03 Parametros'!$C$15="LISTO",17&lt;='03 Parametros'!$C$11),17,"")</f>
        <v/>
      </c>
      <c r="C29" s="55" t="str">
        <f>IF(B29="","",'03 Parametros'!$C$8*(1-EXP(-('03 Parametros'!$C$9+'03 Parametros'!$C$10)*B29))/(1+('03 Parametros'!$C$10/'03 Parametros'!$C$9)*EXP(-('03 Parametros'!$C$9+'03 Parametros'!$C$10)*B29)))</f>
        <v/>
      </c>
      <c r="D29" s="55" t="str">
        <f t="shared" si="0"/>
        <v/>
      </c>
      <c r="E29" s="56" t="str">
        <f>IF(C29="","",C29/'03 Parametros'!$C$8)</f>
        <v/>
      </c>
      <c r="F29" s="55" t="str">
        <f>IF(C29="","",'03 Parametros'!$C$8-C29)</f>
        <v/>
      </c>
      <c r="G29" s="56" t="str">
        <f t="shared" si="1"/>
        <v/>
      </c>
      <c r="H29" s="54" t="str">
        <f t="shared" si="2"/>
        <v/>
      </c>
    </row>
    <row r="30" spans="2:8">
      <c r="B30" s="54" t="str">
        <f>IF(AND('03 Parametros'!$C$15="LISTO",18&lt;='03 Parametros'!$C$11),18,"")</f>
        <v/>
      </c>
      <c r="C30" s="55" t="str">
        <f>IF(B30="","",'03 Parametros'!$C$8*(1-EXP(-('03 Parametros'!$C$9+'03 Parametros'!$C$10)*B30))/(1+('03 Parametros'!$C$10/'03 Parametros'!$C$9)*EXP(-('03 Parametros'!$C$9+'03 Parametros'!$C$10)*B30)))</f>
        <v/>
      </c>
      <c r="D30" s="55" t="str">
        <f t="shared" si="0"/>
        <v/>
      </c>
      <c r="E30" s="56" t="str">
        <f>IF(C30="","",C30/'03 Parametros'!$C$8)</f>
        <v/>
      </c>
      <c r="F30" s="55" t="str">
        <f>IF(C30="","",'03 Parametros'!$C$8-C30)</f>
        <v/>
      </c>
      <c r="G30" s="56" t="str">
        <f t="shared" si="1"/>
        <v/>
      </c>
      <c r="H30" s="54" t="str">
        <f t="shared" si="2"/>
        <v/>
      </c>
    </row>
    <row r="31" spans="2:8">
      <c r="B31" s="54" t="str">
        <f>IF(AND('03 Parametros'!$C$15="LISTO",19&lt;='03 Parametros'!$C$11),19,"")</f>
        <v/>
      </c>
      <c r="C31" s="55" t="str">
        <f>IF(B31="","",'03 Parametros'!$C$8*(1-EXP(-('03 Parametros'!$C$9+'03 Parametros'!$C$10)*B31))/(1+('03 Parametros'!$C$10/'03 Parametros'!$C$9)*EXP(-('03 Parametros'!$C$9+'03 Parametros'!$C$10)*B31)))</f>
        <v/>
      </c>
      <c r="D31" s="55" t="str">
        <f t="shared" si="0"/>
        <v/>
      </c>
      <c r="E31" s="56" t="str">
        <f>IF(C31="","",C31/'03 Parametros'!$C$8)</f>
        <v/>
      </c>
      <c r="F31" s="55" t="str">
        <f>IF(C31="","",'03 Parametros'!$C$8-C31)</f>
        <v/>
      </c>
      <c r="G31" s="56" t="str">
        <f t="shared" si="1"/>
        <v/>
      </c>
      <c r="H31" s="54" t="str">
        <f t="shared" si="2"/>
        <v/>
      </c>
    </row>
    <row r="32" spans="2:8">
      <c r="B32" s="54" t="str">
        <f>IF(AND('03 Parametros'!$C$15="LISTO",20&lt;='03 Parametros'!$C$11),20,"")</f>
        <v/>
      </c>
      <c r="C32" s="55" t="str">
        <f>IF(B32="","",'03 Parametros'!$C$8*(1-EXP(-('03 Parametros'!$C$9+'03 Parametros'!$C$10)*B32))/(1+('03 Parametros'!$C$10/'03 Parametros'!$C$9)*EXP(-('03 Parametros'!$C$9+'03 Parametros'!$C$10)*B32)))</f>
        <v/>
      </c>
      <c r="D32" s="55" t="str">
        <f t="shared" si="0"/>
        <v/>
      </c>
      <c r="E32" s="56" t="str">
        <f>IF(C32="","",C32/'03 Parametros'!$C$8)</f>
        <v/>
      </c>
      <c r="F32" s="55" t="str">
        <f>IF(C32="","",'03 Parametros'!$C$8-C32)</f>
        <v/>
      </c>
      <c r="G32" s="56" t="str">
        <f t="shared" si="1"/>
        <v/>
      </c>
      <c r="H32" s="54" t="str">
        <f t="shared" si="2"/>
        <v/>
      </c>
    </row>
    <row r="33" spans="2:8">
      <c r="B33" s="37"/>
      <c r="C33" s="37"/>
      <c r="D33" s="37"/>
      <c r="E33" s="37"/>
      <c r="F33" s="37"/>
      <c r="G33" s="37"/>
      <c r="H33" s="37"/>
    </row>
    <row r="34" spans="2:8">
      <c r="B34" s="37"/>
      <c r="C34" s="37"/>
      <c r="D34" s="37"/>
      <c r="E34" s="37"/>
      <c r="F34" s="37"/>
      <c r="G34" s="37"/>
      <c r="H34" s="37"/>
    </row>
    <row r="35" spans="2:8">
      <c r="B35" s="44" t="s">
        <v>104</v>
      </c>
      <c r="C35" s="44"/>
      <c r="D35" s="44"/>
      <c r="E35" s="44"/>
      <c r="F35" s="44"/>
      <c r="G35" s="44"/>
      <c r="H35" s="44"/>
    </row>
    <row r="36" spans="2:8">
      <c r="B36" s="44"/>
      <c r="C36" s="44"/>
      <c r="D36" s="44"/>
      <c r="E36" s="44"/>
      <c r="F36" s="44"/>
      <c r="G36" s="44"/>
      <c r="H36" s="44"/>
    </row>
    <row r="37" spans="2:8">
      <c r="B37" s="37"/>
      <c r="C37" s="37"/>
      <c r="D37" s="37"/>
      <c r="E37" s="37"/>
      <c r="F37" s="37"/>
      <c r="G37" s="37"/>
      <c r="H37" s="37"/>
    </row>
    <row r="38" spans="2:8">
      <c r="B38" s="37"/>
      <c r="C38" s="37"/>
      <c r="D38" s="37"/>
      <c r="E38" s="37"/>
      <c r="F38" s="37"/>
      <c r="G38" s="37"/>
      <c r="H38" s="37"/>
    </row>
    <row r="39" spans="2:8">
      <c r="B39" s="37"/>
      <c r="C39" s="37"/>
      <c r="D39" s="37"/>
      <c r="E39" s="37"/>
      <c r="F39" s="37"/>
      <c r="G39" s="37"/>
      <c r="H39" s="37"/>
    </row>
  </sheetData>
  <sheetProtection algorithmName="SHA-512" hashValue="FLcZozWWa+WXxDCxaXBGXiTOq2JYCvKms1b6F1wfbofxjAtf6q1TJw7V2aqtM5gexdSP8mUgHWiwJA5F3DH1pg==" saltValue="Q+PN6AIUXBnsQ6jfgBS4BQ==" spinCount="100000" sheet="1" objects="1" scenarios="1" formatCells="0" formatColumns="0" formatRows="0" insertColumns="0" sort="0" autoFilter="0" pivotTables="0"/>
  <mergeCells count="7">
    <mergeCell ref="J7:K9"/>
    <mergeCell ref="J10:K10"/>
    <mergeCell ref="B4:H5"/>
    <mergeCell ref="B1:H3"/>
    <mergeCell ref="B7:H7"/>
    <mergeCell ref="B8:H9"/>
    <mergeCell ref="B35:H36"/>
  </mergeCells>
  <conditionalFormatting sqref="D13:D32">
    <cfRule type="dataBar" priority="1">
      <dataBar>
        <cfvo type="min"/>
        <cfvo type="max"/>
        <color rgb="FF40A5B5"/>
      </dataBar>
    </cfRule>
    <cfRule type="dataBar" priority="3">
      <dataBar>
        <cfvo type="min"/>
        <cfvo type="max"/>
        <color rgb="FF40A5B5"/>
      </dataBar>
      <extLst>
        <ext xmlns:x14="http://schemas.microsoft.com/office/spreadsheetml/2009/9/main" uri="{B025F937-C7B1-47D3-B67F-A62EFF666E3E}">
          <x14:id>{6AF6F47C-7B2E-4943-5C15-D26D6FD769F1}</x14:id>
        </ext>
      </extLst>
    </cfRule>
  </conditionalFormatting>
  <conditionalFormatting sqref="H13:H32">
    <cfRule type="expression" dxfId="3" priority="2">
      <formula>$H13="Mayor año"</formula>
    </cfRule>
  </conditionalFormatting>
  <hyperlinks>
    <hyperlink ref="J10" r:id="rId1" xr:uid="{655A4873-51BF-4DA9-B819-1AAF5877CDFE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AF6F47C-7B2E-4943-5C15-D26D6FD769F1}">
            <x14:dataBar>
              <x14:cfvo type="min"/>
              <x14:cfvo type="max"/>
              <x14:negativeFillColor auto="1"/>
              <x14:axisColor auto="1"/>
            </x14:dataBar>
          </x14:cfRule>
          <xm:sqref>D13:D32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6"/>
  <sheetViews>
    <sheetView workbookViewId="0">
      <pane ySplit="14" topLeftCell="A33" activePane="bottomLeft" state="frozen"/>
      <selection pane="bottomLeft" activeCell="F42" sqref="F42"/>
    </sheetView>
  </sheetViews>
  <sheetFormatPr baseColWidth="10" defaultColWidth="8.796875" defaultRowHeight="13.8"/>
  <cols>
    <col min="1" max="1" width="4" style="14" customWidth="1"/>
    <col min="2" max="2" width="26" style="14" customWidth="1"/>
    <col min="3" max="5" width="21" style="14" customWidth="1"/>
    <col min="6" max="10" width="13" style="14" customWidth="1"/>
    <col min="11" max="11" width="4" style="14" customWidth="1"/>
    <col min="12" max="12" width="37.8984375" style="14" customWidth="1"/>
    <col min="13" max="13" width="31.8984375" style="14" customWidth="1"/>
    <col min="14" max="16384" width="8.796875" style="14"/>
  </cols>
  <sheetData>
    <row r="1" spans="1:13">
      <c r="A1" s="12"/>
      <c r="B1" s="35" t="s">
        <v>105</v>
      </c>
      <c r="C1" s="35"/>
      <c r="D1" s="35"/>
      <c r="E1" s="35"/>
      <c r="F1" s="35"/>
      <c r="G1" s="35"/>
      <c r="H1" s="35"/>
      <c r="I1" s="35"/>
      <c r="J1" s="35"/>
    </row>
    <row r="2" spans="1:13">
      <c r="A2" s="12"/>
      <c r="B2" s="35"/>
      <c r="C2" s="35"/>
      <c r="D2" s="35"/>
      <c r="E2" s="35"/>
      <c r="F2" s="35"/>
      <c r="G2" s="35"/>
      <c r="H2" s="35"/>
      <c r="I2" s="35"/>
      <c r="J2" s="35"/>
    </row>
    <row r="3" spans="1:13">
      <c r="A3" s="12"/>
      <c r="B3" s="35"/>
      <c r="C3" s="35"/>
      <c r="D3" s="35"/>
      <c r="E3" s="35"/>
      <c r="F3" s="35"/>
      <c r="G3" s="35"/>
      <c r="H3" s="35"/>
      <c r="I3" s="35"/>
      <c r="J3" s="35"/>
    </row>
    <row r="4" spans="1:13" ht="14.4" thickBot="1">
      <c r="A4" s="15"/>
      <c r="B4" s="36" t="s">
        <v>106</v>
      </c>
      <c r="C4" s="36"/>
      <c r="D4" s="36"/>
      <c r="E4" s="36"/>
      <c r="F4" s="36"/>
      <c r="G4" s="36"/>
      <c r="H4" s="36"/>
      <c r="I4" s="36"/>
      <c r="J4" s="36"/>
    </row>
    <row r="5" spans="1:13" ht="25.2" customHeight="1">
      <c r="A5" s="15"/>
      <c r="B5" s="36"/>
      <c r="C5" s="36"/>
      <c r="D5" s="36"/>
      <c r="E5" s="36"/>
      <c r="F5" s="36"/>
      <c r="G5" s="36"/>
      <c r="H5" s="36"/>
      <c r="I5" s="36"/>
      <c r="J5" s="36"/>
      <c r="L5" s="22" t="s">
        <v>133</v>
      </c>
      <c r="M5" s="23"/>
    </row>
    <row r="6" spans="1:13" ht="25.2" customHeight="1">
      <c r="B6" s="37"/>
      <c r="C6" s="37"/>
      <c r="D6" s="37"/>
      <c r="E6" s="37"/>
      <c r="F6" s="37"/>
      <c r="G6" s="37"/>
      <c r="H6" s="37"/>
      <c r="I6" s="37"/>
      <c r="J6" s="37"/>
      <c r="L6" s="24"/>
      <c r="M6" s="25"/>
    </row>
    <row r="7" spans="1:13" ht="25.2" customHeight="1" thickBot="1">
      <c r="B7" s="38" t="s">
        <v>107</v>
      </c>
      <c r="C7" s="38"/>
      <c r="D7" s="38"/>
      <c r="E7" s="38"/>
      <c r="F7" s="38"/>
      <c r="G7" s="38"/>
      <c r="H7" s="38"/>
      <c r="I7" s="38"/>
      <c r="J7" s="38"/>
      <c r="L7" s="26"/>
      <c r="M7" s="27"/>
    </row>
    <row r="8" spans="1:13" ht="17.399999999999999" thickBot="1">
      <c r="B8" s="39" t="s">
        <v>108</v>
      </c>
      <c r="C8" s="42">
        <v>0.02</v>
      </c>
      <c r="D8" s="57">
        <f>'03 Parametros'!C9</f>
        <v>0.03</v>
      </c>
      <c r="E8" s="42">
        <v>0.04</v>
      </c>
      <c r="F8" s="47" t="s">
        <v>109</v>
      </c>
      <c r="G8" s="47"/>
      <c r="H8" s="47"/>
      <c r="I8" s="47"/>
      <c r="J8" s="47"/>
      <c r="L8" s="28" t="s">
        <v>134</v>
      </c>
      <c r="M8" s="29"/>
    </row>
    <row r="9" spans="1:13">
      <c r="B9" s="39" t="s">
        <v>110</v>
      </c>
      <c r="C9" s="42">
        <v>0.25</v>
      </c>
      <c r="D9" s="57">
        <f>'03 Parametros'!C10</f>
        <v>0.38</v>
      </c>
      <c r="E9" s="42">
        <v>0.5</v>
      </c>
      <c r="F9" s="47"/>
      <c r="G9" s="47"/>
      <c r="H9" s="47"/>
      <c r="I9" s="47"/>
      <c r="J9" s="47"/>
    </row>
    <row r="10" spans="1:13">
      <c r="B10" s="39" t="s">
        <v>38</v>
      </c>
      <c r="C10" s="58">
        <f>'03 Parametros'!C8</f>
        <v>10000</v>
      </c>
      <c r="D10" s="58">
        <f>'03 Parametros'!C8</f>
        <v>10000</v>
      </c>
      <c r="E10" s="58">
        <f>'03 Parametros'!C8</f>
        <v>10000</v>
      </c>
      <c r="F10" s="47"/>
      <c r="G10" s="47"/>
      <c r="H10" s="47"/>
      <c r="I10" s="47"/>
      <c r="J10" s="47"/>
    </row>
    <row r="11" spans="1:13">
      <c r="B11" s="39" t="s">
        <v>80</v>
      </c>
      <c r="C11" s="58">
        <f>'03 Parametros'!C11</f>
        <v>10</v>
      </c>
      <c r="D11" s="58">
        <f>'03 Parametros'!C11</f>
        <v>10</v>
      </c>
      <c r="E11" s="58">
        <f>'03 Parametros'!C11</f>
        <v>10</v>
      </c>
      <c r="F11" s="47"/>
      <c r="G11" s="47"/>
      <c r="H11" s="47"/>
      <c r="I11" s="47"/>
      <c r="J11" s="47"/>
    </row>
    <row r="12" spans="1:13">
      <c r="B12" s="37"/>
      <c r="C12" s="37"/>
      <c r="D12" s="37"/>
      <c r="E12" s="37"/>
      <c r="F12" s="37"/>
      <c r="G12" s="37"/>
      <c r="H12" s="37"/>
      <c r="I12" s="37"/>
      <c r="J12" s="37"/>
    </row>
    <row r="13" spans="1:13">
      <c r="B13" s="38" t="s">
        <v>111</v>
      </c>
      <c r="C13" s="38"/>
      <c r="D13" s="38"/>
      <c r="E13" s="38"/>
      <c r="F13" s="38"/>
      <c r="G13" s="38"/>
      <c r="H13" s="38"/>
      <c r="I13" s="38"/>
      <c r="J13" s="38"/>
    </row>
    <row r="14" spans="1:13">
      <c r="B14" s="50" t="s">
        <v>112</v>
      </c>
      <c r="C14" s="50" t="s">
        <v>113</v>
      </c>
      <c r="D14" s="50" t="s">
        <v>114</v>
      </c>
      <c r="E14" s="50" t="s">
        <v>115</v>
      </c>
      <c r="F14" s="37"/>
      <c r="G14" s="37"/>
      <c r="H14" s="37"/>
      <c r="I14" s="37"/>
      <c r="J14" s="37"/>
    </row>
    <row r="15" spans="1:13">
      <c r="B15" s="39" t="s">
        <v>116</v>
      </c>
      <c r="C15" s="59" t="str">
        <f>IF(AND('03 Parametros'!$C$15="LISTO",COUNT(C8:C9)=2,C8&gt;=0.0001,C8&lt;=1,C9&gt;=0,C9&lt;=1),"LISTO","REVISAR")</f>
        <v>LISTO</v>
      </c>
      <c r="D15" s="59" t="str">
        <f>'03 Parametros'!$C$15</f>
        <v>LISTO</v>
      </c>
      <c r="E15" s="59" t="str">
        <f>IF(AND('03 Parametros'!$C$15="LISTO",COUNT(E8:E9)=2,E8&gt;=0.0001,E8&lt;=1,E9&gt;=0,E9&lt;=1),"LISTO","REVISAR")</f>
        <v>LISTO</v>
      </c>
      <c r="F15" s="37"/>
      <c r="G15" s="37"/>
      <c r="H15" s="37"/>
      <c r="I15" s="37"/>
      <c r="J15" s="37"/>
    </row>
    <row r="16" spans="1:13">
      <c r="B16" s="39" t="s">
        <v>117</v>
      </c>
      <c r="C16" s="58">
        <f>IF(C15&lt;&gt;"LISTO","",INDEX(C27:C46,'03 Parametros'!$C$11))</f>
        <v>5069.3454064284842</v>
      </c>
      <c r="D16" s="58">
        <f>IF(D15&lt;&gt;"LISTO","",INDEX(D27:D46,'03 Parametros'!$C$11))</f>
        <v>8128.0322122134621</v>
      </c>
      <c r="E16" s="58">
        <f>IF(E15&lt;&gt;"LISTO","",INDEX(E27:E46,'03 Parametros'!$C$11))</f>
        <v>9422.8461014846525</v>
      </c>
      <c r="F16" s="37"/>
      <c r="G16" s="37"/>
      <c r="H16" s="37"/>
      <c r="I16" s="37"/>
      <c r="J16" s="37"/>
    </row>
    <row r="17" spans="2:10">
      <c r="B17" s="39" t="s">
        <v>118</v>
      </c>
      <c r="C17" s="60">
        <f>IF(C16="","",C16/'03 Parametros'!$C$8)</f>
        <v>0.50693454064284837</v>
      </c>
      <c r="D17" s="60">
        <f>IF(D16="","",D16/'03 Parametros'!$C$8)</f>
        <v>0.81280322122134618</v>
      </c>
      <c r="E17" s="60">
        <f>IF(E16="","",E16/'03 Parametros'!$C$8)</f>
        <v>0.94228461014846521</v>
      </c>
      <c r="F17" s="37"/>
      <c r="G17" s="37"/>
      <c r="H17" s="37"/>
      <c r="I17" s="37"/>
      <c r="J17" s="37"/>
    </row>
    <row r="18" spans="2:10">
      <c r="B18" s="39" t="s">
        <v>88</v>
      </c>
      <c r="C18" s="46">
        <f>IF(C15&lt;&gt;"LISTO","",IF(C9&gt;C8,LN(C9/C8)/(C8+C9),0))</f>
        <v>9.3545505344750204</v>
      </c>
      <c r="D18" s="46">
        <f>IF(D15&lt;&gt;"LISTO","",IF(D9&gt;D8,LN(D9/D8)/(D8+D9),0))</f>
        <v>6.1926191977031122</v>
      </c>
      <c r="E18" s="46">
        <f>IF(E15&lt;&gt;"LISTO","",IF(E9&gt;E8,LN(E9/E8)/(E8+E9),0))</f>
        <v>4.6772752672375102</v>
      </c>
      <c r="F18" s="37"/>
      <c r="G18" s="37"/>
      <c r="H18" s="37"/>
      <c r="I18" s="37"/>
      <c r="J18" s="37"/>
    </row>
    <row r="19" spans="2:10">
      <c r="B19" s="37"/>
      <c r="C19" s="37"/>
      <c r="D19" s="37"/>
      <c r="E19" s="37"/>
      <c r="F19" s="37"/>
      <c r="G19" s="37"/>
      <c r="H19" s="37"/>
      <c r="I19" s="37"/>
      <c r="J19" s="37"/>
    </row>
    <row r="20" spans="2:10">
      <c r="B20" s="37"/>
      <c r="C20" s="37"/>
      <c r="D20" s="37"/>
      <c r="E20" s="37"/>
      <c r="F20" s="37"/>
      <c r="G20" s="37"/>
      <c r="H20" s="37"/>
      <c r="I20" s="37"/>
      <c r="J20" s="37"/>
    </row>
    <row r="21" spans="2:10">
      <c r="B21" s="44" t="s">
        <v>119</v>
      </c>
      <c r="C21" s="44"/>
      <c r="D21" s="44"/>
      <c r="E21" s="44"/>
      <c r="F21" s="44"/>
      <c r="G21" s="44"/>
      <c r="H21" s="44"/>
      <c r="I21" s="44"/>
      <c r="J21" s="44"/>
    </row>
    <row r="22" spans="2:10">
      <c r="B22" s="44"/>
      <c r="C22" s="44"/>
      <c r="D22" s="44"/>
      <c r="E22" s="44"/>
      <c r="F22" s="44"/>
      <c r="G22" s="44"/>
      <c r="H22" s="44"/>
      <c r="I22" s="44"/>
      <c r="J22" s="44"/>
    </row>
    <row r="23" spans="2:10">
      <c r="B23" s="37"/>
      <c r="C23" s="37"/>
      <c r="D23" s="37"/>
      <c r="E23" s="37"/>
      <c r="F23" s="37"/>
      <c r="G23" s="37"/>
      <c r="H23" s="37"/>
      <c r="I23" s="37"/>
      <c r="J23" s="37"/>
    </row>
    <row r="24" spans="2:10">
      <c r="B24" s="37"/>
      <c r="C24" s="37"/>
      <c r="D24" s="37"/>
      <c r="E24" s="37"/>
      <c r="F24" s="37"/>
      <c r="G24" s="37"/>
      <c r="H24" s="37"/>
      <c r="I24" s="37"/>
      <c r="J24" s="37"/>
    </row>
    <row r="25" spans="2:10">
      <c r="B25" s="37"/>
      <c r="C25" s="37"/>
      <c r="D25" s="37"/>
      <c r="E25" s="37"/>
      <c r="F25" s="37"/>
      <c r="G25" s="37"/>
      <c r="H25" s="37"/>
      <c r="I25" s="37"/>
      <c r="J25" s="37"/>
    </row>
    <row r="26" spans="2:10">
      <c r="B26" s="61" t="s">
        <v>120</v>
      </c>
      <c r="C26" s="61" t="s">
        <v>113</v>
      </c>
      <c r="D26" s="61" t="s">
        <v>121</v>
      </c>
      <c r="E26" s="61" t="s">
        <v>115</v>
      </c>
      <c r="F26" s="37"/>
      <c r="G26" s="37"/>
      <c r="H26" s="37"/>
      <c r="I26" s="37"/>
      <c r="J26" s="37"/>
    </row>
    <row r="27" spans="2:10">
      <c r="B27" s="54">
        <f>IF('04 Proyeccion'!B13="","",'04 Proyeccion'!B13)</f>
        <v>1</v>
      </c>
      <c r="C27" s="62">
        <f t="shared" ref="C27:C46" si="0">IF(OR(C$15&lt;&gt;"LISTO",B27=""),"",$C$10*(1-EXP(-(C$8+C$9)*B27))/(1+(C$9/C$8)*EXP(-(C$8+C$9)*B27)))</f>
        <v>224.44985418973306</v>
      </c>
      <c r="D27" s="62">
        <f>IF(B27="","",'04 Proyeccion'!C13)</f>
        <v>357.5816425644162</v>
      </c>
      <c r="E27" s="62">
        <f t="shared" ref="E27:E46" si="1">IF(OR(E$15&lt;&gt;"LISTO",B27=""),"",$C$10*(1-EXP(-(E$8+E$9)*B27))/(1+(E$9/E$8)*EXP(-(E$8+E$9)*B27)))</f>
        <v>503.66243427292164</v>
      </c>
      <c r="F27" s="37"/>
      <c r="G27" s="37"/>
      <c r="H27" s="37"/>
      <c r="I27" s="37"/>
      <c r="J27" s="37"/>
    </row>
    <row r="28" spans="2:10">
      <c r="B28" s="54">
        <f>IF('04 Proyeccion'!B14="","",'04 Proyeccion'!B14)</f>
        <v>2</v>
      </c>
      <c r="C28" s="62">
        <f t="shared" si="0"/>
        <v>503.66243427292164</v>
      </c>
      <c r="D28" s="62">
        <f>IF(B28="","",'04 Proyeccion'!C14)</f>
        <v>850.56281402182162</v>
      </c>
      <c r="E28" s="62">
        <f t="shared" si="1"/>
        <v>1259.1258657298338</v>
      </c>
      <c r="F28" s="37"/>
      <c r="G28" s="37"/>
      <c r="H28" s="37"/>
      <c r="I28" s="37"/>
      <c r="J28" s="37"/>
    </row>
    <row r="29" spans="2:10">
      <c r="B29" s="54">
        <f>IF('04 Proyeccion'!B15="","",'04 Proyeccion'!B15)</f>
        <v>3</v>
      </c>
      <c r="C29" s="62">
        <f t="shared" si="0"/>
        <v>846.15932497263623</v>
      </c>
      <c r="D29" s="62">
        <f>IF(B29="","",'04 Proyeccion'!C15)</f>
        <v>1505.0007196371294</v>
      </c>
      <c r="E29" s="62">
        <f t="shared" si="1"/>
        <v>2309.0465800994562</v>
      </c>
      <c r="F29" s="37"/>
      <c r="G29" s="37"/>
      <c r="H29" s="37"/>
      <c r="I29" s="37"/>
      <c r="J29" s="37"/>
    </row>
    <row r="30" spans="2:10">
      <c r="B30" s="54">
        <f>IF('04 Proyeccion'!B16="","",'04 Proyeccion'!B16)</f>
        <v>4</v>
      </c>
      <c r="C30" s="62">
        <f t="shared" si="0"/>
        <v>1259.1258657298338</v>
      </c>
      <c r="D30" s="62">
        <f>IF(B30="","",'04 Proyeccion'!C16)</f>
        <v>2331.5047173163007</v>
      </c>
      <c r="E30" s="62">
        <f t="shared" si="1"/>
        <v>3623.3941615304802</v>
      </c>
      <c r="F30" s="37"/>
      <c r="G30" s="37"/>
      <c r="H30" s="37"/>
      <c r="I30" s="37"/>
      <c r="J30" s="37"/>
    </row>
    <row r="31" spans="2:10">
      <c r="B31" s="54">
        <f>IF('04 Proyeccion'!B17="","",'04 Proyeccion'!B17)</f>
        <v>5</v>
      </c>
      <c r="C31" s="62">
        <f t="shared" si="0"/>
        <v>1746.867516122644</v>
      </c>
      <c r="D31" s="62">
        <f>IF(B31="","",'04 Proyeccion'!C17)</f>
        <v>3311.9864249137358</v>
      </c>
      <c r="E31" s="62">
        <f t="shared" si="1"/>
        <v>5069.3454064284842</v>
      </c>
      <c r="F31" s="37"/>
      <c r="G31" s="37"/>
      <c r="H31" s="37"/>
      <c r="I31" s="37"/>
      <c r="J31" s="37"/>
    </row>
    <row r="32" spans="2:10">
      <c r="B32" s="54">
        <f>IF('04 Proyeccion'!B18="","",'04 Proyeccion'!B18)</f>
        <v>6</v>
      </c>
      <c r="C32" s="62">
        <f t="shared" si="0"/>
        <v>2309.0465800994562</v>
      </c>
      <c r="D32" s="62">
        <f>IF(B32="","",'04 Proyeccion'!C18)</f>
        <v>4392.3521787287527</v>
      </c>
      <c r="E32" s="62">
        <f t="shared" si="1"/>
        <v>6450.518282255648</v>
      </c>
      <c r="F32" s="37"/>
      <c r="G32" s="37"/>
      <c r="H32" s="37"/>
      <c r="I32" s="37"/>
      <c r="J32" s="37"/>
    </row>
    <row r="33" spans="2:10">
      <c r="B33" s="54">
        <f>IF('04 Proyeccion'!B19="","",'04 Proyeccion'!B19)</f>
        <v>7</v>
      </c>
      <c r="C33" s="62">
        <f t="shared" si="0"/>
        <v>2939.0974015866441</v>
      </c>
      <c r="D33" s="62">
        <f>IF(B33="","",'04 Proyeccion'!C19)</f>
        <v>5490.0974165775324</v>
      </c>
      <c r="E33" s="62">
        <f t="shared" si="1"/>
        <v>7602.8144763107066</v>
      </c>
      <c r="F33" s="37"/>
      <c r="G33" s="37"/>
      <c r="H33" s="37"/>
      <c r="I33" s="37"/>
      <c r="J33" s="37"/>
    </row>
    <row r="34" spans="2:10">
      <c r="B34" s="54">
        <f>IF('04 Proyeccion'!B20="","",'04 Proyeccion'!B20)</f>
        <v>8</v>
      </c>
      <c r="C34" s="62">
        <f t="shared" si="0"/>
        <v>3623.3941615304802</v>
      </c>
      <c r="D34" s="62">
        <f>IF(B34="","",'04 Proyeccion'!C20)</f>
        <v>6517.3758595855006</v>
      </c>
      <c r="E34" s="62">
        <f t="shared" si="1"/>
        <v>8460.4617197292773</v>
      </c>
      <c r="F34" s="37"/>
      <c r="G34" s="37"/>
      <c r="H34" s="37"/>
      <c r="I34" s="37"/>
      <c r="J34" s="37"/>
    </row>
    <row r="35" spans="2:10">
      <c r="B35" s="54">
        <f>IF('04 Proyeccion'!B21="","",'04 Proyeccion'!B21)</f>
        <v>9</v>
      </c>
      <c r="C35" s="62">
        <f t="shared" si="0"/>
        <v>4341.7298619721514</v>
      </c>
      <c r="D35" s="62">
        <f>IF(B35="","",'04 Proyeccion'!C21)</f>
        <v>7407.2710633647603</v>
      </c>
      <c r="E35" s="62">
        <f t="shared" si="1"/>
        <v>9046.0995505378523</v>
      </c>
      <c r="F35" s="37"/>
      <c r="G35" s="37"/>
      <c r="H35" s="37"/>
      <c r="I35" s="37"/>
      <c r="J35" s="37"/>
    </row>
    <row r="36" spans="2:10">
      <c r="B36" s="54">
        <f>IF('04 Proyeccion'!B22="","",'04 Proyeccion'!B22)</f>
        <v>10</v>
      </c>
      <c r="C36" s="62">
        <f t="shared" si="0"/>
        <v>5069.3454064284842</v>
      </c>
      <c r="D36" s="62">
        <f>IF(B36="","",'04 Proyeccion'!C22)</f>
        <v>8128.0322122134621</v>
      </c>
      <c r="E36" s="62">
        <f t="shared" si="1"/>
        <v>9422.8461014846525</v>
      </c>
      <c r="F36" s="37"/>
      <c r="G36" s="37"/>
      <c r="H36" s="37"/>
      <c r="I36" s="37"/>
      <c r="J36" s="37"/>
    </row>
    <row r="37" spans="2:10">
      <c r="B37" s="54" t="str">
        <f>IF('04 Proyeccion'!B23="","",'04 Proyeccion'!B23)</f>
        <v/>
      </c>
      <c r="C37" s="62" t="str">
        <f t="shared" si="0"/>
        <v/>
      </c>
      <c r="D37" s="62" t="str">
        <f>IF(B37="","",'04 Proyeccion'!C23)</f>
        <v/>
      </c>
      <c r="E37" s="62" t="str">
        <f t="shared" si="1"/>
        <v/>
      </c>
      <c r="F37" s="37"/>
      <c r="G37" s="37"/>
      <c r="H37" s="37"/>
      <c r="I37" s="37"/>
      <c r="J37" s="37"/>
    </row>
    <row r="38" spans="2:10">
      <c r="B38" s="54" t="str">
        <f>IF('04 Proyeccion'!B24="","",'04 Proyeccion'!B24)</f>
        <v/>
      </c>
      <c r="C38" s="62" t="str">
        <f t="shared" si="0"/>
        <v/>
      </c>
      <c r="D38" s="62" t="str">
        <f>IF(B38="","",'04 Proyeccion'!C24)</f>
        <v/>
      </c>
      <c r="E38" s="62" t="str">
        <f t="shared" si="1"/>
        <v/>
      </c>
      <c r="F38" s="37"/>
      <c r="G38" s="37"/>
      <c r="H38" s="37"/>
      <c r="I38" s="37"/>
      <c r="J38" s="37"/>
    </row>
    <row r="39" spans="2:10">
      <c r="B39" s="54" t="str">
        <f>IF('04 Proyeccion'!B25="","",'04 Proyeccion'!B25)</f>
        <v/>
      </c>
      <c r="C39" s="62" t="str">
        <f t="shared" si="0"/>
        <v/>
      </c>
      <c r="D39" s="62" t="str">
        <f>IF(B39="","",'04 Proyeccion'!C25)</f>
        <v/>
      </c>
      <c r="E39" s="62" t="str">
        <f t="shared" si="1"/>
        <v/>
      </c>
      <c r="F39" s="37"/>
      <c r="G39" s="37"/>
      <c r="H39" s="37"/>
      <c r="I39" s="37"/>
      <c r="J39" s="37"/>
    </row>
    <row r="40" spans="2:10">
      <c r="B40" s="54" t="str">
        <f>IF('04 Proyeccion'!B26="","",'04 Proyeccion'!B26)</f>
        <v/>
      </c>
      <c r="C40" s="62" t="str">
        <f t="shared" si="0"/>
        <v/>
      </c>
      <c r="D40" s="62" t="str">
        <f>IF(B40="","",'04 Proyeccion'!C26)</f>
        <v/>
      </c>
      <c r="E40" s="62" t="str">
        <f t="shared" si="1"/>
        <v/>
      </c>
      <c r="F40" s="37"/>
      <c r="G40" s="37"/>
      <c r="H40" s="37"/>
      <c r="I40" s="37"/>
      <c r="J40" s="37"/>
    </row>
    <row r="41" spans="2:10">
      <c r="B41" s="54" t="str">
        <f>IF('04 Proyeccion'!B27="","",'04 Proyeccion'!B27)</f>
        <v/>
      </c>
      <c r="C41" s="62" t="str">
        <f t="shared" si="0"/>
        <v/>
      </c>
      <c r="D41" s="62" t="str">
        <f>IF(B41="","",'04 Proyeccion'!C27)</f>
        <v/>
      </c>
      <c r="E41" s="62" t="str">
        <f t="shared" si="1"/>
        <v/>
      </c>
      <c r="F41" s="37"/>
      <c r="G41" s="37"/>
      <c r="H41" s="37"/>
      <c r="I41" s="37"/>
      <c r="J41" s="37"/>
    </row>
    <row r="42" spans="2:10">
      <c r="B42" s="54" t="str">
        <f>IF('04 Proyeccion'!B28="","",'04 Proyeccion'!B28)</f>
        <v/>
      </c>
      <c r="C42" s="62" t="str">
        <f t="shared" si="0"/>
        <v/>
      </c>
      <c r="D42" s="62" t="str">
        <f>IF(B42="","",'04 Proyeccion'!C28)</f>
        <v/>
      </c>
      <c r="E42" s="62" t="str">
        <f t="shared" si="1"/>
        <v/>
      </c>
      <c r="F42" s="37"/>
      <c r="G42" s="37"/>
      <c r="H42" s="37"/>
      <c r="I42" s="37"/>
      <c r="J42" s="37"/>
    </row>
    <row r="43" spans="2:10">
      <c r="B43" s="54" t="str">
        <f>IF('04 Proyeccion'!B29="","",'04 Proyeccion'!B29)</f>
        <v/>
      </c>
      <c r="C43" s="62" t="str">
        <f t="shared" si="0"/>
        <v/>
      </c>
      <c r="D43" s="62" t="str">
        <f>IF(B43="","",'04 Proyeccion'!C29)</f>
        <v/>
      </c>
      <c r="E43" s="62" t="str">
        <f t="shared" si="1"/>
        <v/>
      </c>
      <c r="F43" s="37"/>
      <c r="G43" s="37"/>
      <c r="H43" s="37"/>
      <c r="I43" s="37"/>
      <c r="J43" s="37"/>
    </row>
    <row r="44" spans="2:10">
      <c r="B44" s="54" t="str">
        <f>IF('04 Proyeccion'!B30="","",'04 Proyeccion'!B30)</f>
        <v/>
      </c>
      <c r="C44" s="62" t="str">
        <f t="shared" si="0"/>
        <v/>
      </c>
      <c r="D44" s="62" t="str">
        <f>IF(B44="","",'04 Proyeccion'!C30)</f>
        <v/>
      </c>
      <c r="E44" s="62" t="str">
        <f t="shared" si="1"/>
        <v/>
      </c>
      <c r="F44" s="37"/>
      <c r="G44" s="37"/>
      <c r="H44" s="37"/>
      <c r="I44" s="37"/>
      <c r="J44" s="37"/>
    </row>
    <row r="45" spans="2:10">
      <c r="B45" s="54" t="str">
        <f>IF('04 Proyeccion'!B31="","",'04 Proyeccion'!B31)</f>
        <v/>
      </c>
      <c r="C45" s="62" t="str">
        <f t="shared" si="0"/>
        <v/>
      </c>
      <c r="D45" s="62" t="str">
        <f>IF(B45="","",'04 Proyeccion'!C31)</f>
        <v/>
      </c>
      <c r="E45" s="62" t="str">
        <f t="shared" si="1"/>
        <v/>
      </c>
      <c r="F45" s="37"/>
      <c r="G45" s="37"/>
      <c r="H45" s="37"/>
      <c r="I45" s="37"/>
      <c r="J45" s="37"/>
    </row>
    <row r="46" spans="2:10">
      <c r="B46" s="54" t="str">
        <f>IF('04 Proyeccion'!B32="","",'04 Proyeccion'!B32)</f>
        <v/>
      </c>
      <c r="C46" s="62" t="str">
        <f t="shared" si="0"/>
        <v/>
      </c>
      <c r="D46" s="62" t="str">
        <f>IF(B46="","",'04 Proyeccion'!C32)</f>
        <v/>
      </c>
      <c r="E46" s="62" t="str">
        <f t="shared" si="1"/>
        <v/>
      </c>
      <c r="F46" s="37"/>
      <c r="G46" s="37"/>
      <c r="H46" s="37"/>
      <c r="I46" s="37"/>
      <c r="J46" s="37"/>
    </row>
    <row r="47" spans="2:10">
      <c r="B47" s="37"/>
      <c r="C47" s="37"/>
      <c r="D47" s="37"/>
      <c r="E47" s="37"/>
      <c r="F47" s="37"/>
      <c r="G47" s="37"/>
      <c r="H47" s="37"/>
      <c r="I47" s="37"/>
      <c r="J47" s="37"/>
    </row>
    <row r="48" spans="2:10">
      <c r="B48" s="37"/>
      <c r="C48" s="37"/>
      <c r="D48" s="37"/>
      <c r="E48" s="37"/>
      <c r="F48" s="37"/>
      <c r="G48" s="37"/>
      <c r="H48" s="37"/>
      <c r="I48" s="37"/>
      <c r="J48" s="37"/>
    </row>
    <row r="49" spans="2:10">
      <c r="B49" s="37"/>
      <c r="C49" s="37"/>
      <c r="D49" s="37"/>
      <c r="E49" s="37"/>
      <c r="F49" s="37"/>
      <c r="G49" s="37"/>
      <c r="H49" s="37"/>
      <c r="I49" s="37"/>
      <c r="J49" s="37"/>
    </row>
    <row r="50" spans="2:10">
      <c r="B50" s="37"/>
      <c r="C50" s="37"/>
      <c r="D50" s="37"/>
      <c r="E50" s="37"/>
      <c r="F50" s="37"/>
      <c r="G50" s="37"/>
      <c r="H50" s="37"/>
      <c r="I50" s="37"/>
      <c r="J50" s="37"/>
    </row>
    <row r="51" spans="2:10">
      <c r="B51" s="37"/>
      <c r="C51" s="37"/>
      <c r="D51" s="37"/>
      <c r="E51" s="37"/>
      <c r="F51" s="37"/>
      <c r="G51" s="37"/>
      <c r="H51" s="37"/>
      <c r="I51" s="37"/>
      <c r="J51" s="37"/>
    </row>
    <row r="52" spans="2:10">
      <c r="B52" s="37"/>
      <c r="C52" s="37"/>
      <c r="D52" s="37"/>
      <c r="E52" s="37"/>
      <c r="F52" s="37"/>
      <c r="G52" s="37"/>
      <c r="H52" s="37"/>
      <c r="I52" s="37"/>
      <c r="J52" s="37"/>
    </row>
    <row r="53" spans="2:10">
      <c r="B53" s="37"/>
      <c r="C53" s="37"/>
      <c r="D53" s="37"/>
      <c r="E53" s="37"/>
      <c r="F53" s="37"/>
      <c r="G53" s="37"/>
      <c r="H53" s="37"/>
      <c r="I53" s="37"/>
      <c r="J53" s="37"/>
    </row>
    <row r="54" spans="2:10">
      <c r="B54" s="37"/>
      <c r="C54" s="37"/>
      <c r="D54" s="37"/>
      <c r="E54" s="37"/>
      <c r="F54" s="37"/>
      <c r="G54" s="37"/>
      <c r="H54" s="37"/>
      <c r="I54" s="37"/>
      <c r="J54" s="37"/>
    </row>
    <row r="55" spans="2:10">
      <c r="B55" s="37"/>
      <c r="C55" s="37"/>
      <c r="D55" s="37"/>
      <c r="E55" s="37"/>
      <c r="F55" s="37"/>
      <c r="G55" s="37"/>
      <c r="H55" s="37"/>
      <c r="I55" s="37"/>
      <c r="J55" s="37"/>
    </row>
    <row r="56" spans="2:10">
      <c r="B56" s="37"/>
      <c r="C56" s="37"/>
      <c r="D56" s="37"/>
      <c r="E56" s="37"/>
      <c r="F56" s="37"/>
      <c r="G56" s="37"/>
      <c r="H56" s="37"/>
      <c r="I56" s="37"/>
      <c r="J56" s="37"/>
    </row>
  </sheetData>
  <sheetProtection algorithmName="SHA-512" hashValue="e7pOUKLMzeL8i2/I08iSzxrOJ/y3niAR0+xOMQHpwFdh97lWnx8cIYoO/5z29JcyQw4exH+Et+HIaUUlgqwyqA==" saltValue="BA4N53F6/AyZQ0pZ5m6D2g==" spinCount="100000" sheet="1" objects="1" scenarios="1" formatCells="0" formatColumns="0" formatRows="0" insertColumns="0" sort="0" autoFilter="0"/>
  <mergeCells count="8">
    <mergeCell ref="B21:J22"/>
    <mergeCell ref="L5:M7"/>
    <mergeCell ref="L8:M8"/>
    <mergeCell ref="B4:J5"/>
    <mergeCell ref="B1:J3"/>
    <mergeCell ref="B7:J7"/>
    <mergeCell ref="F8:J11"/>
    <mergeCell ref="B13:J13"/>
  </mergeCells>
  <conditionalFormatting sqref="C15">
    <cfRule type="expression" dxfId="2" priority="1">
      <formula>$C$15="REVISAR"</formula>
    </cfRule>
  </conditionalFormatting>
  <conditionalFormatting sqref="D15">
    <cfRule type="expression" dxfId="1" priority="2">
      <formula>$D$15="REVISAR"</formula>
    </cfRule>
  </conditionalFormatting>
  <conditionalFormatting sqref="E15">
    <cfRule type="expression" dxfId="0" priority="3">
      <formula>$E$15="REVISAR"</formula>
    </cfRule>
  </conditionalFormatting>
  <dataValidations count="2">
    <dataValidation type="decimal" showErrorMessage="1" errorTitle="Dato fuera de rango" error="Escribe un coeficiente p entre 0.0001 y 1." sqref="C8 E8" xr:uid="{00000000-0002-0000-0400-000000000000}">
      <formula1>0.0001</formula1>
      <formula2>1</formula2>
    </dataValidation>
    <dataValidation type="decimal" showErrorMessage="1" errorTitle="Dato fuera de rango" error="Escribe un coeficiente q entre 0 y 1." sqref="C9 E9" xr:uid="{00000000-0002-0000-0400-000001000000}">
      <formula1>0</formula1>
      <formula2>1</formula2>
    </dataValidation>
  </dataValidations>
  <hyperlinks>
    <hyperlink ref="L8" r:id="rId1" xr:uid="{17BC9D4D-0527-40DF-98A7-0C7AD5D80889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3"/>
  <sheetViews>
    <sheetView workbookViewId="0">
      <pane ySplit="5" topLeftCell="A6" activePane="bottomLeft" state="frozen"/>
      <selection pane="bottomLeft" activeCell="Q11" sqref="Q11"/>
    </sheetView>
  </sheetViews>
  <sheetFormatPr baseColWidth="10" defaultColWidth="8.796875" defaultRowHeight="13.8"/>
  <cols>
    <col min="1" max="1" width="4" customWidth="1"/>
    <col min="2" max="15" width="12" customWidth="1"/>
    <col min="16" max="16" width="4" customWidth="1"/>
  </cols>
  <sheetData>
    <row r="1" spans="1:16">
      <c r="A1" s="1"/>
      <c r="B1" s="4" t="s">
        <v>122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6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6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>
      <c r="A4" s="2"/>
      <c r="B4" s="3" t="s">
        <v>123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</row>
    <row r="5" spans="1:16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2"/>
    </row>
    <row r="7" spans="1:16">
      <c r="B7" s="5" t="s">
        <v>124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6">
      <c r="B8" s="5" t="s">
        <v>125</v>
      </c>
      <c r="C8" s="5"/>
      <c r="D8" s="5"/>
      <c r="E8" s="5" t="s">
        <v>126</v>
      </c>
      <c r="F8" s="5"/>
      <c r="G8" s="5"/>
      <c r="H8" s="5" t="s">
        <v>127</v>
      </c>
      <c r="I8" s="5"/>
      <c r="J8" s="5"/>
      <c r="K8" s="5" t="s">
        <v>128</v>
      </c>
      <c r="L8" s="5"/>
      <c r="M8" s="5"/>
      <c r="N8" s="5" t="s">
        <v>129</v>
      </c>
      <c r="O8" s="5"/>
    </row>
    <row r="9" spans="1:16">
      <c r="B9" s="7">
        <f>IF('03 Parametros'!$C$15&lt;&gt;"LISTO","",INDEX('04 Proyeccion'!$C$13:$C$32,'03 Parametros'!$C$11))</f>
        <v>8128.0322122134621</v>
      </c>
      <c r="C9" s="8"/>
      <c r="D9" s="8"/>
      <c r="E9" s="9">
        <f>IF('03 Parametros'!$C$15&lt;&gt;"LISTO","",INDEX('04 Proyeccion'!$E$13:$E$32,'03 Parametros'!$C$11))</f>
        <v>0.81280322122134618</v>
      </c>
      <c r="F9" s="8"/>
      <c r="G9" s="8"/>
      <c r="H9" s="7">
        <f>IF('03 Parametros'!$C$15&lt;&gt;"LISTO","",MAX('04 Proyeccion'!$D$13:$D$32))</f>
        <v>1097.7452378487797</v>
      </c>
      <c r="I9" s="8"/>
      <c r="J9" s="8"/>
      <c r="K9" s="10">
        <f>IF('03 Parametros'!$C$15&lt;&gt;"LISTO","",INDEX('04 Proyeccion'!$B$13:$B$32,MATCH(MAX('04 Proyeccion'!$D$13:$D$32),'04 Proyeccion'!$D$13:$D$32,0)))</f>
        <v>7</v>
      </c>
      <c r="L9" s="8"/>
      <c r="M9" s="8"/>
      <c r="N9" s="10">
        <f>IF('03 Parametros'!$C$15&lt;&gt;"LISTO","",'03 Parametros'!$C$11)</f>
        <v>10</v>
      </c>
      <c r="O9" s="8"/>
    </row>
    <row r="10" spans="1:16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6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6">
      <c r="B12" s="11" t="str">
        <f>IF('03 Parametros'!$C$15&lt;&gt;"LISTO","REVISAR ENTRADAS | Hoja 03: corrige las celdas amarillas, incluido el nombre del producto.",IF(OR('05 Escenarios'!$C$15&lt;&gt;"LISTO",'05 Escenarios'!$E$15&lt;&gt;"LISTO"),"REVISAR ESCENARIOS | Hoja 05: comprueba los coeficientes p y q amarillos.","CASO: "&amp;'03 Parametros'!$C$12&amp;"  |  ESTADO: LISTO"))</f>
        <v>CASO: Dispositivo de gestión energética para comercios  |  ESTADO: LISTO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6">
      <c r="B13" s="5" t="s">
        <v>130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32" spans="2:15">
      <c r="B32" s="5" t="s">
        <v>131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52" spans="2:15">
      <c r="B52" s="6" t="s">
        <v>132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2:15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</sheetData>
  <mergeCells count="17">
    <mergeCell ref="B13:O13"/>
    <mergeCell ref="B32:O32"/>
    <mergeCell ref="B52:O53"/>
    <mergeCell ref="B12:O12"/>
    <mergeCell ref="B4:O5"/>
    <mergeCell ref="B1:O3"/>
    <mergeCell ref="B7:O7"/>
    <mergeCell ref="B8:D8"/>
    <mergeCell ref="B9:D11"/>
    <mergeCell ref="E8:G8"/>
    <mergeCell ref="E9:G11"/>
    <mergeCell ref="H8:J8"/>
    <mergeCell ref="H9:J11"/>
    <mergeCell ref="K8:M8"/>
    <mergeCell ref="K9:M11"/>
    <mergeCell ref="N8:O8"/>
    <mergeCell ref="N9:O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01 Instrucciones</vt:lpstr>
      <vt:lpstr>02 Glosario</vt:lpstr>
      <vt:lpstr>03 Parametros</vt:lpstr>
      <vt:lpstr>04 Proyeccion</vt:lpstr>
      <vt:lpstr>05 Escenarios</vt:lpstr>
      <vt:lpstr>06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2026-10-09T22:58:35Z</dcterms:modified>
</cp:coreProperties>
</file>