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823E7691-CB2B-4641-A927-1C6586E961B5}" xr6:coauthVersionLast="47" xr6:coauthVersionMax="47" xr10:uidLastSave="{00000000-0000-0000-0000-000000000000}"/>
  <bookViews>
    <workbookView xWindow="28680" yWindow="-120" windowWidth="29040" windowHeight="15720" xr2:uid="{00000000-000D-0000-FFFF-FFFF00000000}"/>
  </bookViews>
  <sheets>
    <sheet name="1. Instrucciones" sheetId="1" r:id="rId1"/>
    <sheet name="2. Glosario" sheetId="2" r:id="rId2"/>
    <sheet name="3. Regla de Johns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7" i="3" l="1"/>
  <c r="D27" i="3"/>
  <c r="E27" i="3" s="1"/>
  <c r="D26" i="3"/>
  <c r="O26" i="3" s="1"/>
  <c r="O25" i="3"/>
  <c r="D25" i="3"/>
  <c r="E25" i="3" s="1"/>
  <c r="D24" i="3"/>
  <c r="O24" i="3" s="1"/>
  <c r="O23" i="3"/>
  <c r="D23" i="3"/>
  <c r="E23" i="3" s="1"/>
  <c r="E22" i="3"/>
  <c r="D22" i="3"/>
  <c r="O22" i="3" s="1"/>
  <c r="O21" i="3"/>
  <c r="D21" i="3"/>
  <c r="E21" i="3" s="1"/>
  <c r="D20" i="3"/>
  <c r="O20" i="3" s="1"/>
  <c r="O19" i="3"/>
  <c r="D19" i="3"/>
  <c r="E19" i="3" s="1"/>
  <c r="E18" i="3"/>
  <c r="D18" i="3"/>
  <c r="O18" i="3" s="1"/>
  <c r="O17" i="3"/>
  <c r="D17" i="3"/>
  <c r="E17" i="3" s="1"/>
  <c r="D16" i="3"/>
  <c r="O16" i="3" s="1"/>
  <c r="O15" i="3"/>
  <c r="D15" i="3"/>
  <c r="E15" i="3" s="1"/>
  <c r="D14" i="3"/>
  <c r="O14" i="3" s="1"/>
  <c r="O13" i="3"/>
  <c r="D13" i="3"/>
  <c r="E13" i="3" s="1"/>
  <c r="D12" i="3"/>
  <c r="O12" i="3" s="1"/>
  <c r="D11" i="3"/>
  <c r="E11" i="3" s="1"/>
  <c r="D10" i="3"/>
  <c r="D9" i="3"/>
  <c r="D8" i="3"/>
  <c r="O8" i="3" s="1"/>
  <c r="O9" i="3" l="1"/>
  <c r="E16" i="3"/>
  <c r="E24" i="3"/>
  <c r="E8" i="3"/>
  <c r="E12" i="3"/>
  <c r="D31" i="3"/>
  <c r="O10" i="3"/>
  <c r="E10" i="3"/>
  <c r="E26" i="3"/>
  <c r="E14" i="3"/>
  <c r="E20" i="3"/>
  <c r="E9" i="3"/>
  <c r="O11" i="3"/>
  <c r="G27" i="3" l="1"/>
  <c r="G25" i="3"/>
  <c r="G23" i="3"/>
  <c r="G21" i="3"/>
  <c r="G19" i="3"/>
  <c r="G17" i="3"/>
  <c r="G15" i="3"/>
  <c r="G13" i="3"/>
  <c r="G11" i="3"/>
  <c r="G9" i="3"/>
  <c r="A33" i="3"/>
  <c r="Q23" i="3" s="1"/>
  <c r="G14" i="3"/>
  <c r="G8" i="3"/>
  <c r="G22" i="3"/>
  <c r="G31" i="3"/>
  <c r="G26" i="3"/>
  <c r="G10" i="3"/>
  <c r="G20" i="3"/>
  <c r="G24" i="3"/>
  <c r="G16" i="3"/>
  <c r="G12" i="3"/>
  <c r="G18" i="3"/>
  <c r="J18" i="3" l="1"/>
  <c r="I18" i="3"/>
  <c r="H18" i="3"/>
  <c r="P23" i="3"/>
  <c r="P26" i="3"/>
  <c r="J26" i="3"/>
  <c r="I26" i="3"/>
  <c r="H26" i="3"/>
  <c r="P10" i="3"/>
  <c r="R15" i="3"/>
  <c r="P25" i="3"/>
  <c r="P22" i="3"/>
  <c r="R20" i="3"/>
  <c r="J27" i="3"/>
  <c r="I27" i="3"/>
  <c r="H27" i="3"/>
  <c r="I23" i="3"/>
  <c r="H23" i="3"/>
  <c r="J23" i="3"/>
  <c r="J25" i="3"/>
  <c r="I25" i="3"/>
  <c r="H25" i="3"/>
  <c r="R14" i="3"/>
  <c r="Q16" i="3"/>
  <c r="R17" i="3"/>
  <c r="P18" i="3"/>
  <c r="Q8" i="3"/>
  <c r="P20" i="3"/>
  <c r="R26" i="3"/>
  <c r="R19" i="3"/>
  <c r="Q9" i="3"/>
  <c r="Q25" i="3"/>
  <c r="Q24" i="3"/>
  <c r="J12" i="3"/>
  <c r="I12" i="3"/>
  <c r="H12" i="3"/>
  <c r="Q14" i="3"/>
  <c r="Q22" i="3"/>
  <c r="R8" i="3"/>
  <c r="R24" i="3"/>
  <c r="R21" i="3"/>
  <c r="Q15" i="3"/>
  <c r="P11" i="3"/>
  <c r="P8" i="3"/>
  <c r="J20" i="3"/>
  <c r="I20" i="3"/>
  <c r="H20" i="3"/>
  <c r="Q11" i="3"/>
  <c r="R23" i="3"/>
  <c r="I9" i="3"/>
  <c r="H9" i="3"/>
  <c r="J9" i="3"/>
  <c r="P17" i="3"/>
  <c r="R10" i="3"/>
  <c r="Q18" i="3"/>
  <c r="P24" i="3"/>
  <c r="J22" i="3"/>
  <c r="I22" i="3"/>
  <c r="H22" i="3"/>
  <c r="Q13" i="3"/>
  <c r="R25" i="3"/>
  <c r="I11" i="3"/>
  <c r="H11" i="3"/>
  <c r="J11" i="3"/>
  <c r="P19" i="3"/>
  <c r="I13" i="3"/>
  <c r="H13" i="3"/>
  <c r="J13" i="3"/>
  <c r="P21" i="3"/>
  <c r="J16" i="3"/>
  <c r="H16" i="3"/>
  <c r="I16" i="3"/>
  <c r="P12" i="3"/>
  <c r="J14" i="3"/>
  <c r="H14" i="3"/>
  <c r="I14" i="3"/>
  <c r="Q27" i="3"/>
  <c r="I15" i="3"/>
  <c r="H15" i="3"/>
  <c r="J15" i="3"/>
  <c r="P27" i="3"/>
  <c r="R13" i="3"/>
  <c r="R22" i="3"/>
  <c r="R12" i="3"/>
  <c r="R18" i="3"/>
  <c r="I17" i="3"/>
  <c r="H17" i="3"/>
  <c r="J17" i="3"/>
  <c r="Q17" i="3"/>
  <c r="J24" i="3"/>
  <c r="I24" i="3"/>
  <c r="H24" i="3"/>
  <c r="J10" i="3"/>
  <c r="I10" i="3"/>
  <c r="H10" i="3"/>
  <c r="Q20" i="3"/>
  <c r="R9" i="3"/>
  <c r="P13" i="3"/>
  <c r="I19" i="3"/>
  <c r="H19" i="3"/>
  <c r="J19" i="3"/>
  <c r="Q21" i="3"/>
  <c r="J8" i="3"/>
  <c r="I8" i="3"/>
  <c r="H8" i="3"/>
  <c r="Q19" i="3"/>
  <c r="R27" i="3"/>
  <c r="Q12" i="3"/>
  <c r="R16" i="3"/>
  <c r="P9" i="3"/>
  <c r="P14" i="3"/>
  <c r="Q10" i="3"/>
  <c r="P16" i="3"/>
  <c r="Q26" i="3"/>
  <c r="R11" i="3"/>
  <c r="P15" i="3"/>
  <c r="I21" i="3"/>
  <c r="H21" i="3"/>
  <c r="J21" i="3"/>
  <c r="N16" i="3" l="1"/>
  <c r="M16" i="3"/>
  <c r="L16" i="3"/>
  <c r="K16" i="3"/>
  <c r="N22" i="3"/>
  <c r="K22" i="3"/>
  <c r="M22" i="3"/>
  <c r="L22" i="3"/>
  <c r="N20" i="3"/>
  <c r="K20" i="3"/>
  <c r="M20" i="3"/>
  <c r="L20" i="3"/>
  <c r="V22" i="3"/>
  <c r="U22" i="3"/>
  <c r="T22" i="3"/>
  <c r="S22" i="3"/>
  <c r="M21" i="3"/>
  <c r="N21" i="3"/>
  <c r="L21" i="3"/>
  <c r="K21" i="3"/>
  <c r="V25" i="3"/>
  <c r="U25" i="3"/>
  <c r="T25" i="3"/>
  <c r="S25" i="3"/>
  <c r="K8" i="3"/>
  <c r="L8" i="3" s="1"/>
  <c r="V27" i="3"/>
  <c r="U27" i="3"/>
  <c r="T27" i="3"/>
  <c r="S27" i="3"/>
  <c r="U21" i="3"/>
  <c r="T21" i="3"/>
  <c r="S21" i="3"/>
  <c r="V21" i="3"/>
  <c r="L25" i="3"/>
  <c r="N25" i="3"/>
  <c r="M25" i="3"/>
  <c r="K25" i="3"/>
  <c r="V18" i="3"/>
  <c r="U18" i="3"/>
  <c r="T18" i="3"/>
  <c r="S18" i="3"/>
  <c r="U15" i="3"/>
  <c r="T15" i="3"/>
  <c r="S15" i="3"/>
  <c r="V15" i="3"/>
  <c r="N24" i="3"/>
  <c r="K24" i="3"/>
  <c r="M24" i="3"/>
  <c r="L24" i="3"/>
  <c r="V24" i="3"/>
  <c r="U24" i="3"/>
  <c r="T24" i="3"/>
  <c r="S24" i="3"/>
  <c r="S8" i="3"/>
  <c r="T8" i="3" s="1"/>
  <c r="M15" i="3"/>
  <c r="L15" i="3"/>
  <c r="K15" i="3"/>
  <c r="N15" i="3"/>
  <c r="K13" i="3"/>
  <c r="N13" i="3"/>
  <c r="M13" i="3"/>
  <c r="L13" i="3"/>
  <c r="N26" i="3"/>
  <c r="K26" i="3"/>
  <c r="M26" i="3"/>
  <c r="L26" i="3"/>
  <c r="U19" i="3"/>
  <c r="T19" i="3"/>
  <c r="S19" i="3"/>
  <c r="V19" i="3"/>
  <c r="K19" i="3"/>
  <c r="L19" i="3"/>
  <c r="N19" i="3"/>
  <c r="M19" i="3"/>
  <c r="V26" i="3"/>
  <c r="U26" i="3"/>
  <c r="S26" i="3"/>
  <c r="T26" i="3"/>
  <c r="V16" i="3"/>
  <c r="S16" i="3"/>
  <c r="T16" i="3"/>
  <c r="U16" i="3"/>
  <c r="U17" i="3"/>
  <c r="T17" i="3"/>
  <c r="S17" i="3"/>
  <c r="V17" i="3"/>
  <c r="M23" i="3"/>
  <c r="L23" i="3"/>
  <c r="K23" i="3"/>
  <c r="N23" i="3"/>
  <c r="V14" i="3"/>
  <c r="U14" i="3"/>
  <c r="T14" i="3"/>
  <c r="S14" i="3"/>
  <c r="M17" i="3"/>
  <c r="N17" i="3"/>
  <c r="L17" i="3"/>
  <c r="K17" i="3"/>
  <c r="N14" i="3"/>
  <c r="M14" i="3"/>
  <c r="K14" i="3"/>
  <c r="L14" i="3"/>
  <c r="V20" i="3"/>
  <c r="U20" i="3"/>
  <c r="S20" i="3"/>
  <c r="T20" i="3"/>
  <c r="N27" i="3"/>
  <c r="M27" i="3"/>
  <c r="L27" i="3"/>
  <c r="K27" i="3"/>
  <c r="U23" i="3"/>
  <c r="T23" i="3"/>
  <c r="S23" i="3"/>
  <c r="V23" i="3"/>
  <c r="U13" i="3"/>
  <c r="T13" i="3"/>
  <c r="S13" i="3"/>
  <c r="V13" i="3"/>
  <c r="N18" i="3"/>
  <c r="M18" i="3"/>
  <c r="K18" i="3"/>
  <c r="L18" i="3"/>
  <c r="K9" i="3" l="1"/>
  <c r="L9" i="3" s="1"/>
  <c r="M8" i="3"/>
  <c r="N8" i="3" s="1"/>
  <c r="S9" i="3"/>
  <c r="T9" i="3" s="1"/>
  <c r="U8" i="3"/>
  <c r="V8" i="3" s="1"/>
  <c r="M9" i="3" l="1"/>
  <c r="N9" i="3" s="1"/>
  <c r="K10" i="3"/>
  <c r="L10" i="3" s="1"/>
  <c r="S10" i="3"/>
  <c r="T10" i="3" s="1"/>
  <c r="U9" i="3"/>
  <c r="V9" i="3" s="1"/>
  <c r="U10" i="3" l="1"/>
  <c r="V10" i="3" s="1"/>
  <c r="S11" i="3"/>
  <c r="T11" i="3" s="1"/>
  <c r="K11" i="3"/>
  <c r="L11" i="3" s="1"/>
  <c r="M10" i="3"/>
  <c r="N10" i="3" s="1"/>
  <c r="G33" i="3" l="1"/>
  <c r="M11" i="3"/>
  <c r="N11" i="3" s="1"/>
  <c r="K12" i="3"/>
  <c r="L12" i="3" s="1"/>
  <c r="M12" i="3" s="1"/>
  <c r="N12" i="3" s="1"/>
  <c r="U11" i="3"/>
  <c r="V11" i="3" s="1"/>
  <c r="S12" i="3"/>
  <c r="T12" i="3" s="1"/>
  <c r="U12" i="3" s="1"/>
  <c r="V12" i="3" s="1"/>
  <c r="D33" i="3" s="1"/>
  <c r="M33" i="3" l="1"/>
  <c r="J33" i="3"/>
</calcChain>
</file>

<file path=xl/sharedStrings.xml><?xml version="1.0" encoding="utf-8"?>
<sst xmlns="http://schemas.openxmlformats.org/spreadsheetml/2006/main" count="183" uniqueCount="149">
  <si>
    <t>Plantilla Excel · Regla de Johnson</t>
  </si>
  <si>
    <t>Guía de uso | Nivel básico-intermedio | Sin macros</t>
  </si>
  <si>
    <t>¿Para qué sirve esta plantilla?</t>
  </si>
  <si>
    <t>Permite aplicar la Regla de Johnson a un conjunto de trabajos que pasan por dos máquinas o procesos consecutivos. Ingresas el nombre de cada orden y sus tiempos en M1 y M2; la plantilla calcula la secuencia Johnson, el cronograma y el makespan. También compara el resultado con el orden en que cargaste los trabajos.</t>
  </si>
  <si>
    <t>Cómo usarla en 6 pasos</t>
  </si>
  <si>
    <t>1</t>
  </si>
  <si>
    <t>Ve a la hoja “3. Regla de Johnson”.</t>
  </si>
  <si>
    <t>2</t>
  </si>
  <si>
    <t>Borra solamente los datos de ejemplo en las columnas Orden, Tiempo M1 y Tiempo M2.</t>
  </si>
  <si>
    <t>3</t>
  </si>
  <si>
    <t>Ingresa tus trabajos dentro del área azul claro. Puedes usar hasta 20 órdenes; no pegues datos debajo del límite de captura.</t>
  </si>
  <si>
    <t>4</t>
  </si>
  <si>
    <t>Usa la misma unidad de tiempo en M1 y M2: minutos, horas u otra, pero no las mezcles.</t>
  </si>
  <si>
    <t>5</t>
  </si>
  <si>
    <t>No borres ni escribas sobre las columnas Grupo Johnson, Posición Johnson ni sobre la tabla de resultados.</t>
  </si>
  <si>
    <t>6</t>
  </si>
  <si>
    <t>Revisa la secuencia calculada, el makespan y la comparación contra el orden ingresado.</t>
  </si>
  <si>
    <t>Antes de usar Johnson: valida estas condiciones</t>
  </si>
  <si>
    <t>✓</t>
  </si>
  <si>
    <t>Todos los trabajos pasan por dos procesos en el mismo orden: M1 → M2.</t>
  </si>
  <si>
    <t>Cada máquina procesa un solo trabajo a la vez.</t>
  </si>
  <si>
    <t>Los tiempos de procesamiento son conocidos o suficientemente representativos.</t>
  </si>
  <si>
    <t>El objetivo es minimizar el tiempo total del conjunto de trabajos (makespan).</t>
  </si>
  <si>
    <t>!</t>
  </si>
  <si>
    <t>Si hay rutas diferentes, paradas relevantes, más etapas o preparaciones dependientes de la secuencia, el modelo clásico puede no representar tu operación.</t>
  </si>
  <si>
    <t>Qué puedes editar y qué no</t>
  </si>
  <si>
    <t>EDITAR</t>
  </si>
  <si>
    <t>Celdas azul claro: Orden, Tiempo M1 y Tiempo M2.</t>
  </si>
  <si>
    <t>NO EDITAR</t>
  </si>
  <si>
    <t>Celdas grises o blancas con fórmulas: clasificación, posiciones, cronograma y resultados.</t>
  </si>
  <si>
    <t>IMPORTANTE</t>
  </si>
  <si>
    <t>Ingresa tiempos numéricos mayores que cero. Puedes dejar filas totalmente vacías. Si una fila está incompleta, contiene texto en tiempos, valores cero/negativos o un ID de orden duplicado, aparecerá REVISAR.</t>
  </si>
  <si>
    <t>Comprobación del ejemplo incluido</t>
  </si>
  <si>
    <t>El ejemplo de la entrada usa cinco órdenes de una empresa de mobiliario. La secuencia Johnson debe ser C → D → A → E → B. El makespan del orden cargado A → B → C → D → E es 185 minutos y el makespan Johnson es 157 minutos. La diferencia es 28 minutos (15,1 % en este ejemplo).</t>
  </si>
  <si>
    <t>Alertas de datos</t>
  </si>
  <si>
    <t>ESTADO</t>
  </si>
  <si>
    <t>LISTO: hay al menos 2 trabajos completos y válidos. REVISAR: corrige filas incompletas, tiempos no numéricos o menores/iguales a cero, IDs duplicados o datos pegados fuera del límite de 20 trabajos. FALTA INFORMACIÓN: no hay datos suficientes para secuenciar. Mientras el estado no sea LISTO, la secuencia y los indicadores se mantienen en blanco.</t>
  </si>
  <si>
    <t>Compatibilidad y alcance</t>
  </si>
  <si>
    <t>La plantilla usa fórmulas estándar de Excel y no contiene macros. Está diseñada para un máximo de 20 trabajos y para el caso clásico de dos máquinas. Es una herramienta de apoyo operativo: no sustituye un sistema avanzado de programación ni contempla restricciones complejas como múltiples rutas, calendarios de máquina o setups dependientes de la secuencia.</t>
  </si>
  <si>
    <t>Referencia académica del método</t>
  </si>
  <si>
    <t>S. M. Johnson (1954), Optimal two- and three-stage production schedules with setup times included. https://onlinelibrary.wiley.com/doi/10.1002/nav.3800010110</t>
  </si>
  <si>
    <t>Glosario · Regla de Johnson</t>
  </si>
  <si>
    <t>Términos usados dentro de la plantilla</t>
  </si>
  <si>
    <t>Término</t>
  </si>
  <si>
    <t>Definición simple</t>
  </si>
  <si>
    <t>Dónde aparece</t>
  </si>
  <si>
    <t>Cómo interpretarlo</t>
  </si>
  <si>
    <t>Trabajo / Orden</t>
  </si>
  <si>
    <t>Unidad de trabajo que debe pasar por M1 y luego por M2.</t>
  </si>
  <si>
    <t>Captura y resultados</t>
  </si>
  <si>
    <t>Puede ser un pedido, lote u orden de producción.</t>
  </si>
  <si>
    <t>M1</t>
  </si>
  <si>
    <t>Primera máquina o primer proceso de la ruta.</t>
  </si>
  <si>
    <t>Captura y cronograma</t>
  </si>
  <si>
    <t>Todos los trabajos empiezan aquí.</t>
  </si>
  <si>
    <t>M2</t>
  </si>
  <si>
    <t>Segunda máquina o segundo proceso de la ruta.</t>
  </si>
  <si>
    <t>Cada trabajo entra después de terminar M1 y cuando M2 esté disponible.</t>
  </si>
  <si>
    <t>Tiempo M1</t>
  </si>
  <si>
    <t>Duración del trabajo en la primera máquina.</t>
  </si>
  <si>
    <t>Captura</t>
  </si>
  <si>
    <t>Debe ser mayor que cero y usar la misma unidad que M2.</t>
  </si>
  <si>
    <t>Tiempo M2</t>
  </si>
  <si>
    <t>Duración del trabajo en la segunda máquina.</t>
  </si>
  <si>
    <t>Debe ser mayor que cero y usar la misma unidad que M1.</t>
  </si>
  <si>
    <t>Secuenciación</t>
  </si>
  <si>
    <t>Decisión sobre el orden en que se procesarán los trabajos.</t>
  </si>
  <si>
    <t>Resultado</t>
  </si>
  <si>
    <t>Johnson propone un orden orientado a minimizar el makespan.</t>
  </si>
  <si>
    <t>Grupo Inicio</t>
  </si>
  <si>
    <t>Trabajos cuyo tiempo en M1 es menor o igual que su tiempo en M2.</t>
  </si>
  <si>
    <t>Se ordenan hacia el inicio según su tiempo en M1.</t>
  </si>
  <si>
    <t>Grupo Final</t>
  </si>
  <si>
    <t>Trabajos cuyo tiempo en M1 es mayor que su tiempo en M2.</t>
  </si>
  <si>
    <t>Se ordenan hacia el final según su tiempo en M2.</t>
  </si>
  <si>
    <t>Posición Johnson</t>
  </si>
  <si>
    <t>Lugar que ocupa un trabajo en la secuencia calculada.</t>
  </si>
  <si>
    <t>Captura y resultado</t>
  </si>
  <si>
    <t>1 es el primer trabajo de la secuencia.</t>
  </si>
  <si>
    <t>Inicio M1</t>
  </si>
  <si>
    <t>Momento en que un trabajo comienza en M1.</t>
  </si>
  <si>
    <t>Depende del fin del trabajo anterior en M1.</t>
  </si>
  <si>
    <t>Fin M1</t>
  </si>
  <si>
    <t>Momento en que termina el trabajo en M1.</t>
  </si>
  <si>
    <t>Inicio M1 + Tiempo M1.</t>
  </si>
  <si>
    <t>Inicio M2</t>
  </si>
  <si>
    <t>Momento en que un trabajo puede comenzar en M2.</t>
  </si>
  <si>
    <t>Es el mayor entre su Fin M1 y la disponibilidad de M2.</t>
  </si>
  <si>
    <t>Fin M2</t>
  </si>
  <si>
    <t>Momento en que termina el trabajo en M2.</t>
  </si>
  <si>
    <t>Inicio M2 + Tiempo M2.</t>
  </si>
  <si>
    <t>Makespan</t>
  </si>
  <si>
    <t>Tiempo total desde el inicio del primer trabajo en M1 hasta el fin del último en M2.</t>
  </si>
  <si>
    <t>Comparación</t>
  </si>
  <si>
    <t>Es el indicador que minimiza la Regla de Johnson clásica.</t>
  </si>
  <si>
    <t>Orden ingresado</t>
  </si>
  <si>
    <t>Secuencia en la que escribiste los trabajos en la tabla de captura.</t>
  </si>
  <si>
    <t>Se usa como referencia para comparar el resultado Johnson.</t>
  </si>
  <si>
    <t>Diferencia</t>
  </si>
  <si>
    <t>Makespan del orden ingresado menos makespan Johnson.</t>
  </si>
  <si>
    <t>Un valor positivo indica menor tiempo total con Johnson.</t>
  </si>
  <si>
    <t>Mejora %</t>
  </si>
  <si>
    <t>Diferencia dividida entre el makespan del orden ingresado.</t>
  </si>
  <si>
    <t>Muestra la reducción relativa para los datos cargados.</t>
  </si>
  <si>
    <t>Empate</t>
  </si>
  <si>
    <t>Dos o más tiempos mínimos iguales.</t>
  </si>
  <si>
    <t>Lógica Johnson</t>
  </si>
  <si>
    <t>Puede existir más de una secuencia óptima; la plantilla desempata por el orden de captura.</t>
  </si>
  <si>
    <t>Estado de datos</t>
  </si>
  <si>
    <t>Control previo que valida si la captura permite calcular con seguridad.</t>
  </si>
  <si>
    <t>Hoja operativa</t>
  </si>
  <si>
    <t>Debe indicar LISTO antes de interpretar la secuencia o los indicadores.</t>
  </si>
  <si>
    <t>LISTO</t>
  </si>
  <si>
    <t>La captura contiene al menos dos trabajos completos y válidos.</t>
  </si>
  <si>
    <t>La plantilla puede calcular y mostrar resultados.</t>
  </si>
  <si>
    <t>REVISAR</t>
  </si>
  <si>
    <t>Existe al menos una fila incompleta o inválida, un ID de orden duplicado o datos fuera del límite de 20 trabajos.</t>
  </si>
  <si>
    <t>Corrige la captura antes de usar los resultados.</t>
  </si>
  <si>
    <t>FALTA INFORMACIÓN</t>
  </si>
  <si>
    <t>No hay datos o todavía no existen al menos dos trabajos completos y válidos.</t>
  </si>
  <si>
    <t>Completa la captura antes de calcular.</t>
  </si>
  <si>
    <t>Regla de Johnson · Secuenciación en dos máquinas</t>
  </si>
  <si>
    <t>Edita únicamente las celdas azul claro. La plantilla admite hasta 20 trabajos.</t>
  </si>
  <si>
    <t>1. Captura de datos</t>
  </si>
  <si>
    <t>2. Secuencia y cronograma Johnson</t>
  </si>
  <si>
    <t>Ingresa Orden, Tiempo M1 y Tiempo M2. Las columnas grises se calculan automáticamente.</t>
  </si>
  <si>
    <t>El resultado se actualiza al cambiar los datos de entrada.</t>
  </si>
  <si>
    <t>Orden</t>
  </si>
  <si>
    <t>Grupo Johnson</t>
  </si>
  <si>
    <t>Pos.</t>
  </si>
  <si>
    <t>Pos. base</t>
  </si>
  <si>
    <t>Orden base</t>
  </si>
  <si>
    <t>M1 base</t>
  </si>
  <si>
    <t>Fin M1 base</t>
  </si>
  <si>
    <t>Inicio M2 base</t>
  </si>
  <si>
    <t>Fin M2 base</t>
  </si>
  <si>
    <t>A</t>
  </si>
  <si>
    <t>B</t>
  </si>
  <si>
    <t>C</t>
  </si>
  <si>
    <t>D</t>
  </si>
  <si>
    <t>E</t>
  </si>
  <si>
    <t>FIN DE CAPTURA · MÁXIMO 20 TRABAJOS</t>
  </si>
  <si>
    <t>3. Comparación rápida</t>
  </si>
  <si>
    <t>Trabajos cargados</t>
  </si>
  <si>
    <t>Makespan orden ingresado</t>
  </si>
  <si>
    <t>Makespan Johnson</t>
  </si>
  <si>
    <t>Interpretación: una diferencia positiva indica que, para los datos cargados, la secuencia Johnson termina el conjunto de trabajos en menos tiempo que el orden ingresado. La mejora porcentual es específica de tus datos; no es una reducción garantizada para otros casos.</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</si>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</sst>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font>
      <sz val="11"/>
      <name val="Carlito"/>
    </font>
    <font>
      <b/>
      <sz val="18"/>
      <color rgb="FFFFFFFF"/>
      <name val="Carlito"/>
    </font>
    <font>
      <b/>
      <sz val="11"/>
      <color rgb="FF17365D"/>
      <name val="Carlito"/>
    </font>
    <font>
      <b/>
      <sz val="12"/>
      <color rgb="FFFFFFFF"/>
      <name val="Carlito"/>
    </font>
    <font>
      <sz val="10"/>
      <color rgb="FF101828"/>
      <name val="Carlito"/>
    </font>
    <font>
      <b/>
      <sz val="11"/>
      <color rgb="FF0B1F3A"/>
      <name val="Carlito"/>
    </font>
    <font>
      <b/>
      <sz val="11"/>
      <color rgb="FF176B3A"/>
      <name val="Carlito"/>
    </font>
    <font>
      <b/>
      <sz val="11"/>
      <color rgb="FFB42318"/>
      <name val="Carlito"/>
    </font>
    <font>
      <b/>
      <sz val="11"/>
      <color rgb="FFFFFFFF"/>
      <name val="Carlito"/>
    </font>
    <font>
      <i/>
      <sz val="9"/>
      <color rgb="FF667085"/>
      <name val="Carlito"/>
    </font>
    <font>
      <sz val="11"/>
      <color rgb="FF101828"/>
      <name val="Carlito"/>
    </font>
    <font>
      <sz val="7"/>
      <color rgb="FFFFFFFF"/>
      <name val="Carlito"/>
    </font>
    <font>
      <b/>
      <sz val="9"/>
      <color rgb="FFFFFFFF"/>
      <name val="Carlito"/>
    </font>
    <font>
      <b/>
      <sz val="16"/>
      <color rgb="FF0B1F3A"/>
      <name val="Carlito"/>
    </font>
    <font>
      <sz val="9"/>
      <color rgb="FF101828"/>
      <name val="Carlito"/>
    </font>
    <font>
      <i/>
      <sz val="11"/>
      <color rgb="FF475467"/>
      <name val="Carlito"/>
    </font>
    <font>
      <b/>
      <sz val="10"/>
      <color rgb="FFFFFFFF"/>
      <name val="Carlito"/>
    </font>
    <font>
      <b/>
      <sz val="11"/>
      <color rgb="FFB54708"/>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5">
    <fill>
      <patternFill patternType="none"/>
    </fill>
    <fill>
      <patternFill patternType="gray125"/>
    </fill>
    <fill>
      <patternFill patternType="solid">
        <fgColor rgb="FF0B1F3A"/>
        <bgColor indexed="64"/>
      </patternFill>
    </fill>
    <fill>
      <patternFill patternType="solid">
        <fgColor indexed="65"/>
        <bgColor indexed="64"/>
      </patternFill>
    </fill>
    <fill>
      <patternFill patternType="solid">
        <fgColor rgb="FFEEF3F8"/>
        <bgColor indexed="64"/>
      </patternFill>
    </fill>
    <fill>
      <patternFill patternType="solid">
        <fgColor rgb="FF17365D"/>
        <bgColor indexed="64"/>
      </patternFill>
    </fill>
    <fill>
      <patternFill patternType="solid">
        <fgColor rgb="FFDCE9F3"/>
        <bgColor indexed="64"/>
      </patternFill>
    </fill>
    <fill>
      <patternFill patternType="solid">
        <fgColor rgb="FFE8F5EE"/>
        <bgColor indexed="64"/>
      </patternFill>
    </fill>
    <fill>
      <patternFill patternType="solid">
        <fgColor rgb="FFFDECEC"/>
        <bgColor indexed="64"/>
      </patternFill>
    </fill>
    <fill>
      <patternFill patternType="solid">
        <fgColor rgb="FFEAF3F8"/>
        <bgColor indexed="64"/>
      </patternFill>
    </fill>
    <fill>
      <patternFill patternType="solid">
        <fgColor theme="3"/>
        <bgColor indexed="64"/>
      </patternFill>
    </fill>
    <fill>
      <patternFill patternType="solid">
        <fgColor rgb="FFF7F9FC"/>
        <bgColor indexed="64"/>
      </patternFill>
    </fill>
    <fill>
      <patternFill patternType="solid">
        <fgColor rgb="FFFFFFFF"/>
        <bgColor indexed="64"/>
      </patternFill>
    </fill>
    <fill>
      <patternFill patternType="solid">
        <fgColor rgb="FFFFF4E5"/>
        <bgColor indexed="64"/>
      </patternFill>
    </fill>
    <fill>
      <patternFill patternType="solid">
        <fgColor rgb="FFF2F6FA"/>
        <bgColor indexed="64"/>
      </patternFill>
    </fill>
  </fills>
  <borders count="18">
    <border>
      <left/>
      <right/>
      <top/>
      <bottom/>
      <diagonal/>
    </border>
    <border>
      <left/>
      <right/>
      <top/>
      <bottom style="thin">
        <color rgb="FFFFFFFF"/>
      </bottom>
      <diagonal/>
    </border>
    <border>
      <left style="thin">
        <color rgb="FFEAECF0"/>
      </left>
      <right/>
      <top style="thin">
        <color rgb="FFEAECF0"/>
      </top>
      <bottom style="thin">
        <color rgb="FFFFFFFF"/>
      </bottom>
      <diagonal/>
    </border>
    <border>
      <left/>
      <right/>
      <top style="thin">
        <color rgb="FFEAECF0"/>
      </top>
      <bottom style="thin">
        <color rgb="FFFFFFFF"/>
      </bottom>
      <diagonal/>
    </border>
    <border>
      <left/>
      <right style="thin">
        <color rgb="FFEAECF0"/>
      </right>
      <top style="thin">
        <color rgb="FFEAECF0"/>
      </top>
      <bottom style="thin">
        <color rgb="FFFFFFFF"/>
      </bottom>
      <diagonal/>
    </border>
    <border>
      <left style="thin">
        <color rgb="FFEAECF0"/>
      </left>
      <right/>
      <top/>
      <bottom/>
      <diagonal/>
    </border>
    <border>
      <left/>
      <right style="thin">
        <color rgb="FFEAECF0"/>
      </right>
      <top/>
      <bottom/>
      <diagonal/>
    </border>
    <border>
      <left style="thin">
        <color rgb="FFEAECF0"/>
      </left>
      <right/>
      <top/>
      <bottom style="thin">
        <color rgb="FFEAECF0"/>
      </bottom>
      <diagonal/>
    </border>
    <border>
      <left/>
      <right/>
      <top/>
      <bottom style="thin">
        <color rgb="FFEAECF0"/>
      </bottom>
      <diagonal/>
    </border>
    <border>
      <left/>
      <right style="thin">
        <color rgb="FFEAECF0"/>
      </right>
      <top/>
      <bottom style="thin">
        <color rgb="FFEAECF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8" fillId="0" borderId="0" applyNumberFormat="0" applyFill="0" applyBorder="0" applyAlignment="0" applyProtection="0"/>
  </cellStyleXfs>
  <cellXfs count="64">
    <xf numFmtId="0" fontId="0" fillId="0" borderId="0" xfId="0"/>
    <xf numFmtId="0" fontId="1" fillId="2" borderId="0" xfId="0" applyFont="1" applyFill="1" applyAlignment="1">
      <alignment horizontal="left" vertical="center"/>
    </xf>
    <xf numFmtId="0" fontId="0" fillId="3" borderId="0" xfId="0" applyFill="1"/>
    <xf numFmtId="0" fontId="2" fillId="4" borderId="0" xfId="0" applyFont="1" applyFill="1" applyAlignment="1">
      <alignment vertical="center"/>
    </xf>
    <xf numFmtId="0" fontId="3" fillId="5" borderId="0" xfId="0" applyFont="1" applyFill="1" applyAlignment="1">
      <alignment horizontal="left" vertical="center"/>
    </xf>
    <xf numFmtId="0" fontId="4" fillId="3" borderId="0" xfId="0" applyFont="1" applyFill="1" applyAlignment="1">
      <alignment vertical="center" wrapText="1"/>
    </xf>
    <xf numFmtId="0" fontId="4" fillId="3" borderId="0" xfId="0" applyFont="1" applyFill="1" applyAlignment="1">
      <alignment vertical="top" wrapText="1"/>
    </xf>
    <xf numFmtId="0" fontId="5" fillId="6" borderId="0" xfId="0" applyFont="1" applyFill="1" applyAlignment="1">
      <alignment horizontal="center" vertical="center"/>
    </xf>
    <xf numFmtId="0" fontId="4" fillId="3" borderId="0" xfId="0" applyFont="1" applyFill="1" applyAlignment="1">
      <alignment vertical="center" wrapText="1"/>
    </xf>
    <xf numFmtId="0" fontId="6" fillId="7" borderId="0" xfId="0" applyFont="1" applyFill="1" applyAlignment="1">
      <alignment horizontal="center"/>
    </xf>
    <xf numFmtId="0" fontId="7" fillId="8" borderId="0" xfId="0" applyFont="1" applyFill="1" applyAlignment="1">
      <alignment horizontal="center"/>
    </xf>
    <xf numFmtId="0" fontId="5" fillId="6" borderId="0" xfId="0" applyFont="1" applyFill="1" applyAlignment="1">
      <alignment horizontal="center"/>
    </xf>
    <xf numFmtId="0" fontId="16" fillId="5" borderId="0" xfId="0" applyFont="1" applyFill="1" applyAlignment="1">
      <alignment vertical="top" wrapText="1"/>
    </xf>
    <xf numFmtId="0" fontId="5" fillId="9" borderId="0" xfId="0" applyFont="1" applyFill="1"/>
    <xf numFmtId="0" fontId="0" fillId="3" borderId="0" xfId="0" applyFill="1" applyAlignment="1">
      <alignment vertical="center" wrapText="1"/>
    </xf>
    <xf numFmtId="0" fontId="19" fillId="10" borderId="10" xfId="0" applyFont="1" applyFill="1" applyBorder="1" applyAlignment="1">
      <alignment horizontal="center" vertical="center" wrapText="1"/>
    </xf>
    <xf numFmtId="0" fontId="19" fillId="10" borderId="11" xfId="0" applyFont="1" applyFill="1" applyBorder="1" applyAlignment="1">
      <alignment horizontal="center" vertical="center" wrapText="1"/>
    </xf>
    <xf numFmtId="0" fontId="19" fillId="10" borderId="12" xfId="0" applyFont="1" applyFill="1" applyBorder="1" applyAlignment="1">
      <alignment horizontal="center" vertical="center" wrapText="1"/>
    </xf>
    <xf numFmtId="0" fontId="19" fillId="10" borderId="13" xfId="0" applyFont="1" applyFill="1" applyBorder="1" applyAlignment="1">
      <alignment horizontal="center" vertical="center" wrapText="1"/>
    </xf>
    <xf numFmtId="0" fontId="19" fillId="10" borderId="14" xfId="0" applyFont="1" applyFill="1" applyBorder="1" applyAlignment="1">
      <alignment horizontal="center" vertical="center" wrapText="1"/>
    </xf>
    <xf numFmtId="0" fontId="19" fillId="10" borderId="15" xfId="0" applyFont="1" applyFill="1" applyBorder="1" applyAlignment="1">
      <alignment horizontal="center" vertical="center" wrapText="1"/>
    </xf>
    <xf numFmtId="0" fontId="22" fillId="3" borderId="16" xfId="1" applyFont="1" applyFill="1" applyBorder="1" applyAlignment="1">
      <alignment horizontal="center" vertical="center"/>
    </xf>
    <xf numFmtId="0" fontId="22" fillId="3" borderId="17" xfId="1" applyFont="1" applyFill="1" applyBorder="1" applyAlignment="1">
      <alignment horizontal="center" vertical="center"/>
    </xf>
    <xf numFmtId="0" fontId="4" fillId="3" borderId="0" xfId="0" applyFont="1" applyFill="1" applyAlignment="1">
      <alignment horizontal="center" vertical="center" wrapText="1"/>
    </xf>
    <xf numFmtId="0" fontId="2" fillId="4" borderId="0" xfId="0" applyFont="1" applyFill="1"/>
    <xf numFmtId="0" fontId="8" fillId="2" borderId="1" xfId="0" applyFont="1" applyFill="1" applyBorder="1" applyAlignment="1">
      <alignment horizontal="center" vertical="center" wrapText="1"/>
    </xf>
    <xf numFmtId="0" fontId="4" fillId="11" borderId="0" xfId="0" applyFont="1" applyFill="1" applyAlignment="1">
      <alignment vertical="top" wrapText="1"/>
    </xf>
    <xf numFmtId="0" fontId="10" fillId="3" borderId="0" xfId="0" applyFont="1" applyFill="1" applyAlignment="1">
      <alignment vertical="top" wrapText="1"/>
    </xf>
    <xf numFmtId="0" fontId="11" fillId="12" borderId="0" xfId="0" applyFont="1" applyFill="1"/>
    <xf numFmtId="0" fontId="1" fillId="2" borderId="0" xfId="0" applyFont="1" applyFill="1" applyAlignment="1" applyProtection="1">
      <alignment horizontal="left" vertical="center"/>
      <protection locked="0"/>
    </xf>
    <xf numFmtId="0" fontId="2" fillId="4" borderId="0" xfId="0" applyFont="1" applyFill="1" applyAlignment="1" applyProtection="1">
      <alignment horizontal="left" vertical="center"/>
      <protection locked="0"/>
    </xf>
    <xf numFmtId="0" fontId="0" fillId="3" borderId="0" xfId="0" applyFill="1" applyProtection="1">
      <protection locked="0"/>
    </xf>
    <xf numFmtId="0" fontId="3" fillId="5" borderId="0" xfId="0" applyFont="1" applyFill="1" applyAlignment="1" applyProtection="1">
      <alignment horizontal="left" vertical="center"/>
      <protection locked="0"/>
    </xf>
    <xf numFmtId="0" fontId="9" fillId="11" borderId="0" xfId="0" applyFont="1" applyFill="1" applyAlignment="1" applyProtection="1">
      <alignment wrapText="1"/>
      <protection locked="0"/>
    </xf>
    <xf numFmtId="0" fontId="9" fillId="11" borderId="0" xfId="0" applyFont="1" applyFill="1" applyProtection="1">
      <protection locked="0"/>
    </xf>
    <xf numFmtId="0" fontId="8" fillId="2" borderId="2"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10" fillId="9" borderId="5" xfId="0" applyFont="1" applyFill="1" applyBorder="1" applyAlignment="1" applyProtection="1">
      <alignment horizontal="left" vertical="center"/>
      <protection locked="0"/>
    </xf>
    <xf numFmtId="2" fontId="10" fillId="9" borderId="0" xfId="0" applyNumberFormat="1" applyFont="1" applyFill="1" applyAlignment="1" applyProtection="1">
      <alignment horizontal="center" vertical="center"/>
      <protection locked="0"/>
    </xf>
    <xf numFmtId="0" fontId="10" fillId="11" borderId="0" xfId="0" applyFont="1" applyFill="1" applyAlignment="1" applyProtection="1">
      <alignment horizontal="center" vertical="center"/>
      <protection locked="0"/>
    </xf>
    <xf numFmtId="1" fontId="10" fillId="11" borderId="6" xfId="0" applyNumberFormat="1" applyFont="1" applyFill="1" applyBorder="1" applyAlignment="1" applyProtection="1">
      <alignment horizontal="center" vertical="center"/>
      <protection locked="0"/>
    </xf>
    <xf numFmtId="1" fontId="10" fillId="11" borderId="5" xfId="0" applyNumberFormat="1" applyFont="1" applyFill="1" applyBorder="1" applyAlignment="1" applyProtection="1">
      <alignment horizontal="center" vertical="center"/>
      <protection locked="0"/>
    </xf>
    <xf numFmtId="0" fontId="10" fillId="11" borderId="0" xfId="0" applyFont="1" applyFill="1" applyAlignment="1" applyProtection="1">
      <alignment horizontal="left" vertical="center"/>
      <protection locked="0"/>
    </xf>
    <xf numFmtId="2" fontId="10" fillId="11" borderId="0" xfId="0" applyNumberFormat="1" applyFont="1" applyFill="1" applyAlignment="1" applyProtection="1">
      <alignment horizontal="center" vertical="center"/>
      <protection locked="0"/>
    </xf>
    <xf numFmtId="2" fontId="10" fillId="11" borderId="6" xfId="0" applyNumberFormat="1" applyFont="1" applyFill="1" applyBorder="1" applyAlignment="1" applyProtection="1">
      <alignment horizontal="center" vertical="center"/>
      <protection locked="0"/>
    </xf>
    <xf numFmtId="0" fontId="10" fillId="9" borderId="7" xfId="0" applyFont="1" applyFill="1" applyBorder="1" applyAlignment="1" applyProtection="1">
      <alignment horizontal="left" vertical="center"/>
      <protection locked="0"/>
    </xf>
    <xf numFmtId="2" fontId="10" fillId="9" borderId="8" xfId="0" applyNumberFormat="1" applyFont="1" applyFill="1" applyBorder="1" applyAlignment="1" applyProtection="1">
      <alignment horizontal="center" vertical="center"/>
      <protection locked="0"/>
    </xf>
    <xf numFmtId="0" fontId="10" fillId="11" borderId="8" xfId="0" applyFont="1" applyFill="1" applyBorder="1" applyAlignment="1" applyProtection="1">
      <alignment horizontal="center" vertical="center"/>
      <protection locked="0"/>
    </xf>
    <xf numFmtId="1" fontId="10" fillId="11" borderId="9" xfId="0" applyNumberFormat="1" applyFont="1" applyFill="1" applyBorder="1" applyAlignment="1" applyProtection="1">
      <alignment horizontal="center" vertical="center"/>
      <protection locked="0"/>
    </xf>
    <xf numFmtId="1" fontId="10" fillId="11" borderId="7" xfId="0" applyNumberFormat="1" applyFont="1" applyFill="1" applyBorder="1" applyAlignment="1" applyProtection="1">
      <alignment horizontal="center" vertical="center"/>
      <protection locked="0"/>
    </xf>
    <xf numFmtId="0" fontId="10" fillId="11" borderId="8" xfId="0" applyFont="1" applyFill="1" applyBorder="1" applyAlignment="1" applyProtection="1">
      <alignment horizontal="left" vertical="center"/>
      <protection locked="0"/>
    </xf>
    <xf numFmtId="2" fontId="10" fillId="11" borderId="8" xfId="0" applyNumberFormat="1" applyFont="1" applyFill="1" applyBorder="1" applyAlignment="1" applyProtection="1">
      <alignment horizontal="center" vertical="center"/>
      <protection locked="0"/>
    </xf>
    <xf numFmtId="2" fontId="10" fillId="11" borderId="9" xfId="0" applyNumberFormat="1" applyFont="1" applyFill="1" applyBorder="1" applyAlignment="1" applyProtection="1">
      <alignment horizontal="center" vertical="center"/>
      <protection locked="0"/>
    </xf>
    <xf numFmtId="0" fontId="17" fillId="13" borderId="0" xfId="0" applyFont="1" applyFill="1" applyAlignment="1" applyProtection="1">
      <alignment wrapText="1"/>
      <protection locked="0"/>
    </xf>
    <xf numFmtId="0" fontId="5" fillId="4" borderId="0" xfId="0" applyFont="1" applyFill="1" applyAlignment="1" applyProtection="1">
      <alignment vertical="center"/>
      <protection locked="0"/>
    </xf>
    <xf numFmtId="0" fontId="5" fillId="9" borderId="0" xfId="0" applyFont="1" applyFill="1" applyAlignment="1" applyProtection="1">
      <alignment horizontal="center"/>
      <protection locked="0"/>
    </xf>
    <xf numFmtId="0" fontId="15" fillId="11"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1" fontId="13" fillId="14" borderId="0" xfId="0" applyNumberFormat="1" applyFont="1" applyFill="1" applyAlignment="1" applyProtection="1">
      <alignment horizontal="center" vertical="center"/>
      <protection locked="0"/>
    </xf>
    <xf numFmtId="2" fontId="13" fillId="14" borderId="0" xfId="0" applyNumberFormat="1" applyFont="1" applyFill="1" applyAlignment="1" applyProtection="1">
      <alignment horizontal="center" vertical="center"/>
      <protection locked="0"/>
    </xf>
    <xf numFmtId="164" fontId="13" fillId="14" borderId="0" xfId="0" applyNumberFormat="1" applyFont="1" applyFill="1" applyAlignment="1" applyProtection="1">
      <alignment horizontal="center" vertical="center"/>
      <protection locked="0"/>
    </xf>
    <xf numFmtId="0" fontId="14" fillId="11" borderId="0" xfId="0" applyFont="1" applyFill="1" applyAlignment="1" applyProtection="1">
      <alignment vertical="center"/>
      <protection locked="0"/>
    </xf>
    <xf numFmtId="0" fontId="14" fillId="11" borderId="0" xfId="0" applyFont="1" applyFill="1" applyAlignment="1" applyProtection="1">
      <alignment vertical="center" wrapText="1"/>
      <protection locked="0"/>
    </xf>
  </cellXfs>
  <cellStyles count="2">
    <cellStyle name="Hipervínculo" xfId="1" builtinId="8"/>
    <cellStyle name="Normal" xfId="0" builtinId="0"/>
  </cellStyles>
  <dxfs count="5">
    <dxf>
      <font>
        <b/>
        <color rgb="FFB54708"/>
      </font>
      <fill>
        <patternFill>
          <bgColor rgb="FFFFF4E5"/>
        </patternFill>
      </fill>
    </dxf>
    <dxf>
      <font>
        <b/>
        <color rgb="FFB42318"/>
      </font>
      <fill>
        <patternFill>
          <bgColor rgb="FFFDECEC"/>
        </patternFill>
      </fill>
    </dxf>
    <dxf>
      <font>
        <b/>
        <color rgb="FF067647"/>
      </font>
      <fill>
        <patternFill>
          <bgColor rgb="FFE7F6EC"/>
        </patternFill>
      </fill>
    </dxf>
    <dxf>
      <font>
        <color rgb="FFB42318"/>
      </font>
      <fill>
        <patternFill>
          <bgColor rgb="FFFDECEC"/>
        </patternFill>
      </fill>
    </dxf>
    <dxf>
      <font>
        <color rgb="FFB42318"/>
      </font>
      <fill>
        <patternFill>
          <bgColor rgb="FFFDEC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2111032</xdr:colOff>
      <xdr:row>2</xdr:row>
      <xdr:rowOff>20955</xdr:rowOff>
    </xdr:to>
    <xdr:pic>
      <xdr:nvPicPr>
        <xdr:cNvPr id="2" name="Imagen 1">
          <a:extLst>
            <a:ext uri="{FF2B5EF4-FFF2-40B4-BE49-F238E27FC236}">
              <a16:creationId xmlns:a16="http://schemas.microsoft.com/office/drawing/2014/main" id="{06DF7F50-CB13-48DE-9085-2D2B37D9644D}"/>
            </a:ext>
          </a:extLst>
        </xdr:cNvPr>
        <xdr:cNvPicPr>
          <a:picLocks noChangeAspect="1"/>
        </xdr:cNvPicPr>
      </xdr:nvPicPr>
      <xdr:blipFill>
        <a:blip xmlns:r="http://schemas.openxmlformats.org/officeDocument/2006/relationships" r:embed="rId1"/>
        <a:stretch>
          <a:fillRect/>
        </a:stretch>
      </xdr:blipFill>
      <xdr:spPr>
        <a:xfrm>
          <a:off x="10744200" y="0"/>
          <a:ext cx="2111032" cy="603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1810042</xdr:colOff>
      <xdr:row>2</xdr:row>
      <xdr:rowOff>93345</xdr:rowOff>
    </xdr:to>
    <xdr:pic>
      <xdr:nvPicPr>
        <xdr:cNvPr id="2" name="Imagen 1">
          <a:extLst>
            <a:ext uri="{FF2B5EF4-FFF2-40B4-BE49-F238E27FC236}">
              <a16:creationId xmlns:a16="http://schemas.microsoft.com/office/drawing/2014/main" id="{5C385984-5266-4FFF-8F91-67E224AF706D}"/>
            </a:ext>
          </a:extLst>
        </xdr:cNvPr>
        <xdr:cNvPicPr>
          <a:picLocks noChangeAspect="1"/>
        </xdr:cNvPicPr>
      </xdr:nvPicPr>
      <xdr:blipFill>
        <a:blip xmlns:r="http://schemas.openxmlformats.org/officeDocument/2006/relationships" r:embed="rId1"/>
        <a:stretch>
          <a:fillRect/>
        </a:stretch>
      </xdr:blipFill>
      <xdr:spPr>
        <a:xfrm>
          <a:off x="12696825" y="0"/>
          <a:ext cx="2114842" cy="607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0</xdr:colOff>
      <xdr:row>0</xdr:row>
      <xdr:rowOff>0</xdr:rowOff>
    </xdr:from>
    <xdr:to>
      <xdr:col>17</xdr:col>
      <xdr:colOff>1922437</xdr:colOff>
      <xdr:row>2</xdr:row>
      <xdr:rowOff>20955</xdr:rowOff>
    </xdr:to>
    <xdr:pic>
      <xdr:nvPicPr>
        <xdr:cNvPr id="2" name="Imagen 1">
          <a:extLst>
            <a:ext uri="{FF2B5EF4-FFF2-40B4-BE49-F238E27FC236}">
              <a16:creationId xmlns:a16="http://schemas.microsoft.com/office/drawing/2014/main" id="{40F60ADE-11D6-4D7B-9FFF-C3C01818E7AF}"/>
            </a:ext>
          </a:extLst>
        </xdr:cNvPr>
        <xdr:cNvPicPr>
          <a:picLocks noChangeAspect="1"/>
        </xdr:cNvPicPr>
      </xdr:nvPicPr>
      <xdr:blipFill>
        <a:blip xmlns:r="http://schemas.openxmlformats.org/officeDocument/2006/relationships" r:embed="rId1"/>
        <a:stretch>
          <a:fillRect/>
        </a:stretch>
      </xdr:blipFill>
      <xdr:spPr>
        <a:xfrm>
          <a:off x="13696950" y="0"/>
          <a:ext cx="2120557" cy="611505"/>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tabSelected="1" workbookViewId="0">
      <selection activeCell="J13" sqref="J13"/>
    </sheetView>
  </sheetViews>
  <sheetFormatPr baseColWidth="10" defaultColWidth="8.796875" defaultRowHeight="13.8"/>
  <cols>
    <col min="1" max="1" width="16.296875" style="2" customWidth="1"/>
    <col min="2" max="2" width="26" style="2" customWidth="1"/>
    <col min="3" max="7" width="15" style="2" customWidth="1"/>
    <col min="8" max="8" width="16.59765625" style="2" customWidth="1"/>
    <col min="9" max="9" width="8.796875" style="2"/>
    <col min="10" max="10" width="32.796875" style="2" customWidth="1"/>
    <col min="11" max="11" width="37.19921875" style="2" customWidth="1"/>
    <col min="12" max="16384" width="8.796875" style="2"/>
  </cols>
  <sheetData>
    <row r="1" spans="1:11" ht="27.15" customHeight="1">
      <c r="A1" s="1" t="s">
        <v>0</v>
      </c>
      <c r="B1" s="1"/>
      <c r="C1" s="1"/>
      <c r="D1" s="1"/>
      <c r="E1" s="1"/>
      <c r="F1" s="1"/>
      <c r="G1" s="1"/>
      <c r="H1" s="1"/>
    </row>
    <row r="2" spans="1:11" ht="19.2" customHeight="1">
      <c r="A2" s="3" t="s">
        <v>1</v>
      </c>
      <c r="B2" s="3"/>
      <c r="C2" s="3"/>
      <c r="D2" s="3"/>
      <c r="E2" s="3"/>
      <c r="F2" s="3"/>
      <c r="G2" s="3"/>
      <c r="H2" s="3"/>
    </row>
    <row r="3" spans="1:11" ht="14.4" thickBot="1"/>
    <row r="4" spans="1:11" ht="26.4" customHeight="1">
      <c r="A4" s="4" t="s">
        <v>2</v>
      </c>
      <c r="B4" s="4"/>
      <c r="C4" s="4"/>
      <c r="D4" s="4"/>
      <c r="E4" s="4"/>
      <c r="F4" s="4"/>
      <c r="G4" s="4"/>
      <c r="H4" s="4"/>
      <c r="J4" s="15" t="s">
        <v>147</v>
      </c>
      <c r="K4" s="16"/>
    </row>
    <row r="5" spans="1:11" ht="26.4" customHeight="1">
      <c r="A5" s="23" t="s">
        <v>3</v>
      </c>
      <c r="B5" s="23"/>
      <c r="C5" s="23"/>
      <c r="D5" s="23"/>
      <c r="E5" s="23"/>
      <c r="F5" s="23"/>
      <c r="G5" s="23"/>
      <c r="H5" s="23"/>
      <c r="J5" s="17"/>
      <c r="K5" s="18"/>
    </row>
    <row r="6" spans="1:11" ht="26.4" customHeight="1" thickBot="1">
      <c r="A6" s="23"/>
      <c r="B6" s="23"/>
      <c r="C6" s="23"/>
      <c r="D6" s="23"/>
      <c r="E6" s="23"/>
      <c r="F6" s="23"/>
      <c r="G6" s="23"/>
      <c r="H6" s="23"/>
      <c r="J6" s="19"/>
      <c r="K6" s="20"/>
    </row>
    <row r="7" spans="1:11" ht="17.399999999999999" thickBot="1">
      <c r="A7" s="6"/>
      <c r="B7" s="6"/>
      <c r="C7" s="6"/>
      <c r="D7" s="6"/>
      <c r="E7" s="6"/>
      <c r="F7" s="6"/>
      <c r="G7" s="6"/>
      <c r="H7" s="6"/>
      <c r="J7" s="21" t="s">
        <v>148</v>
      </c>
      <c r="K7" s="22"/>
    </row>
    <row r="9" spans="1:11" ht="15.6">
      <c r="A9" s="4" t="s">
        <v>4</v>
      </c>
      <c r="B9" s="4"/>
      <c r="C9" s="4"/>
      <c r="D9" s="4"/>
      <c r="E9" s="4"/>
      <c r="F9" s="4"/>
      <c r="G9" s="4"/>
      <c r="H9" s="4"/>
    </row>
    <row r="10" spans="1:11" ht="22.35" customHeight="1">
      <c r="A10" s="7" t="s">
        <v>5</v>
      </c>
      <c r="B10" s="8" t="s">
        <v>6</v>
      </c>
      <c r="C10" s="8"/>
      <c r="D10" s="8"/>
      <c r="E10" s="8"/>
      <c r="F10" s="8"/>
      <c r="G10" s="8"/>
      <c r="H10" s="8"/>
    </row>
    <row r="11" spans="1:11" ht="22.35" customHeight="1">
      <c r="A11" s="7" t="s">
        <v>7</v>
      </c>
      <c r="B11" s="8" t="s">
        <v>8</v>
      </c>
      <c r="C11" s="8"/>
      <c r="D11" s="8"/>
      <c r="E11" s="8"/>
      <c r="F11" s="8"/>
      <c r="G11" s="8"/>
      <c r="H11" s="8"/>
    </row>
    <row r="12" spans="1:11" ht="22.35" customHeight="1">
      <c r="A12" s="7" t="s">
        <v>9</v>
      </c>
      <c r="B12" s="8" t="s">
        <v>10</v>
      </c>
      <c r="C12" s="8"/>
      <c r="D12" s="8"/>
      <c r="E12" s="8"/>
      <c r="F12" s="8"/>
      <c r="G12" s="8"/>
      <c r="H12" s="8"/>
    </row>
    <row r="13" spans="1:11" ht="22.35" customHeight="1">
      <c r="A13" s="7" t="s">
        <v>11</v>
      </c>
      <c r="B13" s="8" t="s">
        <v>12</v>
      </c>
      <c r="C13" s="8"/>
      <c r="D13" s="8"/>
      <c r="E13" s="8"/>
      <c r="F13" s="8"/>
      <c r="G13" s="8"/>
      <c r="H13" s="8"/>
    </row>
    <row r="14" spans="1:11" ht="22.35" customHeight="1">
      <c r="A14" s="7" t="s">
        <v>13</v>
      </c>
      <c r="B14" s="8" t="s">
        <v>14</v>
      </c>
      <c r="C14" s="8"/>
      <c r="D14" s="8"/>
      <c r="E14" s="8"/>
      <c r="F14" s="8"/>
      <c r="G14" s="8"/>
      <c r="H14" s="8"/>
    </row>
    <row r="15" spans="1:11" ht="22.35" customHeight="1">
      <c r="A15" s="7" t="s">
        <v>15</v>
      </c>
      <c r="B15" s="8" t="s">
        <v>16</v>
      </c>
      <c r="C15" s="8"/>
      <c r="D15" s="8"/>
      <c r="E15" s="8"/>
      <c r="F15" s="8"/>
      <c r="G15" s="8"/>
      <c r="H15" s="8"/>
    </row>
    <row r="17" spans="1:8" ht="15.6">
      <c r="A17" s="4" t="s">
        <v>17</v>
      </c>
      <c r="B17" s="4"/>
      <c r="C17" s="4"/>
      <c r="D17" s="4"/>
      <c r="E17" s="4"/>
      <c r="F17" s="4"/>
      <c r="G17" s="4"/>
      <c r="H17" s="4"/>
    </row>
    <row r="18" spans="1:8" ht="22.35" customHeight="1">
      <c r="A18" s="9" t="s">
        <v>18</v>
      </c>
      <c r="B18" s="8" t="s">
        <v>19</v>
      </c>
      <c r="C18" s="8"/>
      <c r="D18" s="8"/>
      <c r="E18" s="8"/>
      <c r="F18" s="8"/>
      <c r="G18" s="8"/>
      <c r="H18" s="8"/>
    </row>
    <row r="19" spans="1:8" ht="22.35" customHeight="1">
      <c r="A19" s="9" t="s">
        <v>18</v>
      </c>
      <c r="B19" s="8" t="s">
        <v>20</v>
      </c>
      <c r="C19" s="8"/>
      <c r="D19" s="8"/>
      <c r="E19" s="8"/>
      <c r="F19" s="8"/>
      <c r="G19" s="8"/>
      <c r="H19" s="8"/>
    </row>
    <row r="20" spans="1:8" ht="22.35" customHeight="1">
      <c r="A20" s="9" t="s">
        <v>18</v>
      </c>
      <c r="B20" s="8" t="s">
        <v>21</v>
      </c>
      <c r="C20" s="8"/>
      <c r="D20" s="8"/>
      <c r="E20" s="8"/>
      <c r="F20" s="8"/>
      <c r="G20" s="8"/>
      <c r="H20" s="8"/>
    </row>
    <row r="21" spans="1:8" ht="22.35" customHeight="1">
      <c r="A21" s="9" t="s">
        <v>18</v>
      </c>
      <c r="B21" s="8" t="s">
        <v>22</v>
      </c>
      <c r="C21" s="8"/>
      <c r="D21" s="8"/>
      <c r="E21" s="8"/>
      <c r="F21" s="8"/>
      <c r="G21" s="8"/>
      <c r="H21" s="8"/>
    </row>
    <row r="22" spans="1:8" ht="27.15" customHeight="1">
      <c r="A22" s="10" t="s">
        <v>23</v>
      </c>
      <c r="B22" s="8" t="s">
        <v>24</v>
      </c>
      <c r="C22" s="8"/>
      <c r="D22" s="8"/>
      <c r="E22" s="8"/>
      <c r="F22" s="8"/>
      <c r="G22" s="8"/>
      <c r="H22" s="8"/>
    </row>
    <row r="24" spans="1:8" ht="15.6">
      <c r="A24" s="4" t="s">
        <v>25</v>
      </c>
      <c r="B24" s="4"/>
      <c r="C24" s="4"/>
      <c r="D24" s="4"/>
      <c r="E24" s="4"/>
      <c r="F24" s="4"/>
      <c r="G24" s="4"/>
      <c r="H24" s="4"/>
    </row>
    <row r="25" spans="1:8" ht="22.35" customHeight="1">
      <c r="A25" s="11" t="s">
        <v>26</v>
      </c>
      <c r="B25" s="8" t="s">
        <v>27</v>
      </c>
      <c r="C25" s="8"/>
      <c r="D25" s="8"/>
      <c r="E25" s="8"/>
      <c r="F25" s="8"/>
      <c r="G25" s="8"/>
      <c r="H25" s="8"/>
    </row>
    <row r="26" spans="1:8" ht="22.35" customHeight="1">
      <c r="A26" s="11" t="s">
        <v>28</v>
      </c>
      <c r="B26" s="8" t="s">
        <v>29</v>
      </c>
      <c r="C26" s="8"/>
      <c r="D26" s="8"/>
      <c r="E26" s="8"/>
      <c r="F26" s="8"/>
      <c r="G26" s="8"/>
      <c r="H26" s="8"/>
    </row>
    <row r="27" spans="1:8" ht="30.45" customHeight="1">
      <c r="A27" s="11" t="s">
        <v>30</v>
      </c>
      <c r="B27" s="8" t="s">
        <v>31</v>
      </c>
      <c r="C27" s="8"/>
      <c r="D27" s="8"/>
      <c r="E27" s="8"/>
      <c r="F27" s="8"/>
      <c r="G27" s="8"/>
      <c r="H27" s="8"/>
    </row>
    <row r="29" spans="1:8" ht="15.6">
      <c r="A29" s="4" t="s">
        <v>32</v>
      </c>
      <c r="B29" s="4"/>
      <c r="C29" s="4"/>
      <c r="D29" s="4"/>
      <c r="E29" s="4"/>
      <c r="F29" s="4"/>
      <c r="G29" s="4"/>
      <c r="H29" s="4"/>
    </row>
    <row r="30" spans="1:8" ht="19.2" customHeight="1">
      <c r="A30" s="5" t="s">
        <v>33</v>
      </c>
      <c r="B30" s="5"/>
      <c r="C30" s="5"/>
      <c r="D30" s="5"/>
      <c r="E30" s="5"/>
      <c r="F30" s="5"/>
      <c r="G30" s="5"/>
      <c r="H30" s="5"/>
    </row>
    <row r="31" spans="1:8" ht="19.2" customHeight="1">
      <c r="A31" s="5"/>
      <c r="B31" s="5"/>
      <c r="C31" s="5"/>
      <c r="D31" s="5"/>
      <c r="E31" s="5"/>
      <c r="F31" s="5"/>
      <c r="G31" s="5"/>
      <c r="H31" s="5"/>
    </row>
    <row r="32" spans="1:8" ht="26.4">
      <c r="A32" s="12" t="s">
        <v>34</v>
      </c>
      <c r="B32" s="12"/>
      <c r="C32" s="6"/>
      <c r="D32" s="6"/>
      <c r="E32" s="6"/>
      <c r="F32" s="6"/>
      <c r="G32" s="6"/>
      <c r="H32" s="6"/>
    </row>
    <row r="33" spans="1:8" ht="41.55" customHeight="1">
      <c r="A33" s="13" t="s">
        <v>35</v>
      </c>
      <c r="B33" s="14" t="s">
        <v>36</v>
      </c>
      <c r="C33" s="14"/>
      <c r="D33" s="14"/>
      <c r="E33" s="14"/>
      <c r="F33" s="14"/>
      <c r="G33" s="14"/>
      <c r="H33" s="14"/>
    </row>
    <row r="34" spans="1:8" ht="15.6">
      <c r="A34" s="4" t="s">
        <v>37</v>
      </c>
      <c r="B34" s="4"/>
      <c r="C34" s="4"/>
      <c r="D34" s="4"/>
      <c r="E34" s="4"/>
      <c r="F34" s="4"/>
      <c r="G34" s="4"/>
      <c r="H34" s="4"/>
    </row>
    <row r="35" spans="1:8" ht="17.55" customHeight="1">
      <c r="A35" s="23" t="s">
        <v>38</v>
      </c>
      <c r="B35" s="23"/>
      <c r="C35" s="23"/>
      <c r="D35" s="23"/>
      <c r="E35" s="23"/>
      <c r="F35" s="23"/>
      <c r="G35" s="23"/>
      <c r="H35" s="23"/>
    </row>
    <row r="36" spans="1:8" ht="17.55" customHeight="1">
      <c r="A36" s="23"/>
      <c r="B36" s="23"/>
      <c r="C36" s="23"/>
      <c r="D36" s="23"/>
      <c r="E36" s="23"/>
      <c r="F36" s="23"/>
      <c r="G36" s="23"/>
      <c r="H36" s="23"/>
    </row>
    <row r="37" spans="1:8" ht="17.55" customHeight="1">
      <c r="A37" s="5"/>
      <c r="B37" s="5"/>
      <c r="C37" s="5"/>
      <c r="D37" s="5"/>
      <c r="E37" s="5"/>
      <c r="F37" s="5"/>
      <c r="G37" s="5"/>
      <c r="H37" s="5"/>
    </row>
    <row r="38" spans="1:8">
      <c r="A38" s="6"/>
      <c r="B38" s="6"/>
      <c r="C38" s="6"/>
      <c r="D38" s="6"/>
      <c r="E38" s="6"/>
      <c r="F38" s="6"/>
      <c r="G38" s="6"/>
      <c r="H38" s="6"/>
    </row>
    <row r="40" spans="1:8" ht="15.6">
      <c r="A40" s="4" t="s">
        <v>39</v>
      </c>
      <c r="B40" s="4"/>
      <c r="C40" s="4"/>
      <c r="D40" s="4"/>
      <c r="E40" s="4"/>
      <c r="F40" s="4"/>
      <c r="G40" s="4"/>
      <c r="H40" s="4"/>
    </row>
    <row r="41" spans="1:8" ht="24" customHeight="1">
      <c r="A41" s="6" t="s">
        <v>40</v>
      </c>
      <c r="B41" s="6"/>
      <c r="C41" s="6"/>
      <c r="D41" s="6"/>
      <c r="E41" s="6"/>
      <c r="F41" s="6"/>
      <c r="G41" s="6"/>
      <c r="H41" s="6"/>
    </row>
    <row r="42" spans="1:8">
      <c r="A42" s="6"/>
      <c r="B42" s="6"/>
      <c r="C42" s="6"/>
      <c r="D42" s="6"/>
      <c r="E42" s="6"/>
      <c r="F42" s="6"/>
      <c r="G42" s="6"/>
      <c r="H42" s="6"/>
    </row>
  </sheetData>
  <mergeCells count="28">
    <mergeCell ref="A29:H29"/>
    <mergeCell ref="A34:H34"/>
    <mergeCell ref="A40:H40"/>
    <mergeCell ref="B33:H33"/>
    <mergeCell ref="J4:K6"/>
    <mergeCell ref="J7:K7"/>
    <mergeCell ref="A5:H6"/>
    <mergeCell ref="A35:H36"/>
    <mergeCell ref="B22:H22"/>
    <mergeCell ref="A24:H24"/>
    <mergeCell ref="B25:H25"/>
    <mergeCell ref="B26:H26"/>
    <mergeCell ref="B27:H27"/>
    <mergeCell ref="A17:H17"/>
    <mergeCell ref="B18:H18"/>
    <mergeCell ref="B19:H19"/>
    <mergeCell ref="B20:H20"/>
    <mergeCell ref="B21:H21"/>
    <mergeCell ref="B11:H11"/>
    <mergeCell ref="B12:H12"/>
    <mergeCell ref="B13:H13"/>
    <mergeCell ref="B14:H14"/>
    <mergeCell ref="B15:H15"/>
    <mergeCell ref="A1:H1"/>
    <mergeCell ref="A2:H2"/>
    <mergeCell ref="A4:H4"/>
    <mergeCell ref="A9:H9"/>
    <mergeCell ref="B10:H10"/>
  </mergeCells>
  <hyperlinks>
    <hyperlink ref="J7" r:id="rId1" xr:uid="{35872883-109D-4748-BECB-155A3D1CFB6A}"/>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6"/>
  <sheetViews>
    <sheetView workbookViewId="0">
      <selection activeCell="F5" sqref="F5:G8"/>
    </sheetView>
  </sheetViews>
  <sheetFormatPr baseColWidth="10" defaultColWidth="25.59765625" defaultRowHeight="13.8"/>
  <cols>
    <col min="1" max="1" width="19.59765625" style="2" bestFit="1" customWidth="1"/>
    <col min="2" max="2" width="61.09765625" style="2" bestFit="1" customWidth="1"/>
    <col min="3" max="3" width="17.5" style="2" bestFit="1" customWidth="1"/>
    <col min="4" max="4" width="68.3984375" style="2" bestFit="1" customWidth="1"/>
    <col min="5" max="5" width="4.09765625" style="2" customWidth="1"/>
    <col min="6" max="6" width="30.59765625" style="2" customWidth="1"/>
    <col min="7" max="7" width="30.09765625" style="2" customWidth="1"/>
    <col min="8" max="16384" width="25.59765625" style="2"/>
  </cols>
  <sheetData>
    <row r="1" spans="1:7" ht="27.15" customHeight="1">
      <c r="A1" s="1" t="s">
        <v>41</v>
      </c>
      <c r="B1" s="1"/>
      <c r="C1" s="1"/>
      <c r="D1" s="1"/>
    </row>
    <row r="2" spans="1:7">
      <c r="A2" s="24" t="s">
        <v>42</v>
      </c>
      <c r="B2" s="24"/>
      <c r="C2" s="24"/>
      <c r="D2" s="24"/>
    </row>
    <row r="4" spans="1:7" ht="12" customHeight="1" thickBot="1">
      <c r="A4" s="25" t="s">
        <v>43</v>
      </c>
      <c r="B4" s="25" t="s">
        <v>44</v>
      </c>
      <c r="C4" s="25" t="s">
        <v>45</v>
      </c>
      <c r="D4" s="25" t="s">
        <v>46</v>
      </c>
    </row>
    <row r="5" spans="1:7" ht="19.2" customHeight="1">
      <c r="A5" s="26" t="s">
        <v>47</v>
      </c>
      <c r="B5" s="26" t="s">
        <v>48</v>
      </c>
      <c r="C5" s="26" t="s">
        <v>49</v>
      </c>
      <c r="D5" s="26" t="s">
        <v>50</v>
      </c>
      <c r="F5" s="15" t="s">
        <v>147</v>
      </c>
      <c r="G5" s="16"/>
    </row>
    <row r="6" spans="1:7" ht="24" customHeight="1">
      <c r="A6" s="6" t="s">
        <v>51</v>
      </c>
      <c r="B6" s="6" t="s">
        <v>52</v>
      </c>
      <c r="C6" s="6" t="s">
        <v>53</v>
      </c>
      <c r="D6" s="6" t="s">
        <v>54</v>
      </c>
      <c r="F6" s="17"/>
      <c r="G6" s="18"/>
    </row>
    <row r="7" spans="1:7" ht="19.2" customHeight="1" thickBot="1">
      <c r="A7" s="26" t="s">
        <v>55</v>
      </c>
      <c r="B7" s="26" t="s">
        <v>56</v>
      </c>
      <c r="C7" s="26" t="s">
        <v>53</v>
      </c>
      <c r="D7" s="26" t="s">
        <v>57</v>
      </c>
      <c r="F7" s="19"/>
      <c r="G7" s="20"/>
    </row>
    <row r="8" spans="1:7" ht="12" customHeight="1" thickBot="1">
      <c r="A8" s="6" t="s">
        <v>58</v>
      </c>
      <c r="B8" s="6" t="s">
        <v>59</v>
      </c>
      <c r="C8" s="6" t="s">
        <v>60</v>
      </c>
      <c r="D8" s="6" t="s">
        <v>61</v>
      </c>
      <c r="F8" s="21" t="s">
        <v>148</v>
      </c>
      <c r="G8" s="22"/>
    </row>
    <row r="9" spans="1:7" ht="12" customHeight="1">
      <c r="A9" s="26" t="s">
        <v>62</v>
      </c>
      <c r="B9" s="26" t="s">
        <v>63</v>
      </c>
      <c r="C9" s="26" t="s">
        <v>60</v>
      </c>
      <c r="D9" s="26" t="s">
        <v>64</v>
      </c>
    </row>
    <row r="10" spans="1:7" ht="19.2" customHeight="1">
      <c r="A10" s="6" t="s">
        <v>65</v>
      </c>
      <c r="B10" s="6" t="s">
        <v>66</v>
      </c>
      <c r="C10" s="6" t="s">
        <v>67</v>
      </c>
      <c r="D10" s="6" t="s">
        <v>68</v>
      </c>
    </row>
    <row r="11" spans="1:7" ht="19.2" customHeight="1">
      <c r="A11" s="26" t="s">
        <v>69</v>
      </c>
      <c r="B11" s="26" t="s">
        <v>70</v>
      </c>
      <c r="C11" s="26" t="s">
        <v>60</v>
      </c>
      <c r="D11" s="26" t="s">
        <v>71</v>
      </c>
    </row>
    <row r="12" spans="1:7" ht="19.2" customHeight="1">
      <c r="A12" s="6" t="s">
        <v>72</v>
      </c>
      <c r="B12" s="6" t="s">
        <v>73</v>
      </c>
      <c r="C12" s="6" t="s">
        <v>60</v>
      </c>
      <c r="D12" s="6" t="s">
        <v>74</v>
      </c>
    </row>
    <row r="13" spans="1:7" ht="12" customHeight="1">
      <c r="A13" s="26" t="s">
        <v>75</v>
      </c>
      <c r="B13" s="26" t="s">
        <v>76</v>
      </c>
      <c r="C13" s="26" t="s">
        <v>77</v>
      </c>
      <c r="D13" s="26" t="s">
        <v>78</v>
      </c>
    </row>
    <row r="14" spans="1:7" ht="12" customHeight="1">
      <c r="A14" s="6" t="s">
        <v>79</v>
      </c>
      <c r="B14" s="6" t="s">
        <v>80</v>
      </c>
      <c r="C14" s="6" t="s">
        <v>67</v>
      </c>
      <c r="D14" s="6" t="s">
        <v>81</v>
      </c>
    </row>
    <row r="15" spans="1:7" ht="12" customHeight="1">
      <c r="A15" s="26" t="s">
        <v>82</v>
      </c>
      <c r="B15" s="26" t="s">
        <v>83</v>
      </c>
      <c r="C15" s="26" t="s">
        <v>67</v>
      </c>
      <c r="D15" s="26" t="s">
        <v>84</v>
      </c>
    </row>
    <row r="16" spans="1:7" ht="12" customHeight="1">
      <c r="A16" s="6" t="s">
        <v>85</v>
      </c>
      <c r="B16" s="6" t="s">
        <v>86</v>
      </c>
      <c r="C16" s="6" t="s">
        <v>67</v>
      </c>
      <c r="D16" s="6" t="s">
        <v>87</v>
      </c>
    </row>
    <row r="17" spans="1:4" ht="12" customHeight="1">
      <c r="A17" s="26" t="s">
        <v>88</v>
      </c>
      <c r="B17" s="26" t="s">
        <v>89</v>
      </c>
      <c r="C17" s="26" t="s">
        <v>67</v>
      </c>
      <c r="D17" s="26" t="s">
        <v>90</v>
      </c>
    </row>
    <row r="18" spans="1:4" ht="19.2" customHeight="1">
      <c r="A18" s="6" t="s">
        <v>91</v>
      </c>
      <c r="B18" s="6" t="s">
        <v>92</v>
      </c>
      <c r="C18" s="6" t="s">
        <v>93</v>
      </c>
      <c r="D18" s="6" t="s">
        <v>94</v>
      </c>
    </row>
    <row r="19" spans="1:4" ht="19.2" customHeight="1">
      <c r="A19" s="26" t="s">
        <v>95</v>
      </c>
      <c r="B19" s="26" t="s">
        <v>96</v>
      </c>
      <c r="C19" s="26" t="s">
        <v>93</v>
      </c>
      <c r="D19" s="26" t="s">
        <v>97</v>
      </c>
    </row>
    <row r="20" spans="1:4" ht="19.2" customHeight="1">
      <c r="A20" s="6" t="s">
        <v>98</v>
      </c>
      <c r="B20" s="6" t="s">
        <v>99</v>
      </c>
      <c r="C20" s="6" t="s">
        <v>93</v>
      </c>
      <c r="D20" s="6" t="s">
        <v>100</v>
      </c>
    </row>
    <row r="21" spans="1:4" ht="19.2" customHeight="1">
      <c r="A21" s="26" t="s">
        <v>101</v>
      </c>
      <c r="B21" s="26" t="s">
        <v>102</v>
      </c>
      <c r="C21" s="26" t="s">
        <v>93</v>
      </c>
      <c r="D21" s="26" t="s">
        <v>103</v>
      </c>
    </row>
    <row r="22" spans="1:4" ht="19.2" customHeight="1">
      <c r="A22" s="6" t="s">
        <v>104</v>
      </c>
      <c r="B22" s="6" t="s">
        <v>105</v>
      </c>
      <c r="C22" s="6" t="s">
        <v>106</v>
      </c>
      <c r="D22" s="6" t="s">
        <v>107</v>
      </c>
    </row>
    <row r="23" spans="1:4" ht="28.8" customHeight="1">
      <c r="A23" s="27" t="s">
        <v>108</v>
      </c>
      <c r="B23" s="27" t="s">
        <v>109</v>
      </c>
      <c r="C23" s="27" t="s">
        <v>110</v>
      </c>
      <c r="D23" s="27" t="s">
        <v>111</v>
      </c>
    </row>
    <row r="24" spans="1:4" ht="28.8" customHeight="1">
      <c r="A24" s="27" t="s">
        <v>112</v>
      </c>
      <c r="B24" s="27" t="s">
        <v>113</v>
      </c>
      <c r="C24" s="27" t="s">
        <v>108</v>
      </c>
      <c r="D24" s="27" t="s">
        <v>114</v>
      </c>
    </row>
    <row r="25" spans="1:4" ht="28.8" customHeight="1">
      <c r="A25" s="27" t="s">
        <v>115</v>
      </c>
      <c r="B25" s="27" t="s">
        <v>116</v>
      </c>
      <c r="C25" s="27" t="s">
        <v>108</v>
      </c>
      <c r="D25" s="27" t="s">
        <v>117</v>
      </c>
    </row>
    <row r="26" spans="1:4" ht="28.8" customHeight="1">
      <c r="A26" s="27" t="s">
        <v>118</v>
      </c>
      <c r="B26" s="27" t="s">
        <v>119</v>
      </c>
      <c r="C26" s="27" t="s">
        <v>108</v>
      </c>
      <c r="D26" s="27" t="s">
        <v>120</v>
      </c>
    </row>
  </sheetData>
  <mergeCells count="4">
    <mergeCell ref="A1:D1"/>
    <mergeCell ref="A2:D2"/>
    <mergeCell ref="F5:G7"/>
    <mergeCell ref="F8:G8"/>
  </mergeCells>
  <hyperlinks>
    <hyperlink ref="F8" r:id="rId1" xr:uid="{AA0F2CB4-63C6-45C7-BAF1-BC34A7DF78A6}"/>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9"/>
  <sheetViews>
    <sheetView workbookViewId="0">
      <selection sqref="A1:N39"/>
    </sheetView>
  </sheetViews>
  <sheetFormatPr baseColWidth="10" defaultColWidth="8.796875" defaultRowHeight="13.8"/>
  <cols>
    <col min="1" max="1" width="16" style="2" customWidth="1"/>
    <col min="2" max="2" width="13" style="2" customWidth="1"/>
    <col min="3" max="3" width="16" style="2" customWidth="1"/>
    <col min="4" max="4" width="21.59765625" style="2" customWidth="1"/>
    <col min="5" max="5" width="16.796875" style="2" customWidth="1"/>
    <col min="6" max="6" width="3" style="2" customWidth="1"/>
    <col min="7" max="7" width="11.8984375" style="2" customWidth="1"/>
    <col min="8" max="8" width="15" style="2" customWidth="1"/>
    <col min="9" max="10" width="10" style="2" customWidth="1"/>
    <col min="11" max="14" width="11" style="2" customWidth="1"/>
    <col min="15" max="15" width="0" style="2" hidden="1" customWidth="1"/>
    <col min="16" max="17" width="2.5" style="2" customWidth="1"/>
    <col min="18" max="18" width="30.09765625" style="2" customWidth="1"/>
    <col min="19" max="19" width="21.296875" style="2" customWidth="1"/>
    <col min="20" max="22" width="2.5" style="2" customWidth="1"/>
    <col min="23" max="16384" width="8.796875" style="2"/>
  </cols>
  <sheetData>
    <row r="1" spans="1:22" ht="27.15" customHeight="1">
      <c r="A1" s="29" t="s">
        <v>121</v>
      </c>
      <c r="B1" s="29"/>
      <c r="C1" s="29"/>
      <c r="D1" s="29"/>
      <c r="E1" s="29"/>
      <c r="F1" s="29"/>
      <c r="G1" s="29"/>
      <c r="H1" s="29"/>
      <c r="I1" s="29"/>
      <c r="J1" s="29"/>
      <c r="K1" s="29"/>
      <c r="L1" s="29"/>
      <c r="M1" s="29"/>
      <c r="N1" s="29"/>
    </row>
    <row r="2" spans="1:22" ht="19.2" customHeight="1">
      <c r="A2" s="30" t="s">
        <v>122</v>
      </c>
      <c r="B2" s="30"/>
      <c r="C2" s="30"/>
      <c r="D2" s="30"/>
      <c r="E2" s="30"/>
      <c r="F2" s="30"/>
      <c r="G2" s="30"/>
      <c r="H2" s="30"/>
      <c r="I2" s="30"/>
      <c r="J2" s="30"/>
      <c r="K2" s="30"/>
      <c r="L2" s="30"/>
      <c r="M2" s="30"/>
      <c r="N2" s="30"/>
    </row>
    <row r="3" spans="1:22" ht="14.4" thickBot="1">
      <c r="A3" s="31"/>
      <c r="B3" s="31"/>
      <c r="C3" s="31"/>
      <c r="D3" s="31"/>
      <c r="E3" s="31"/>
      <c r="F3" s="31"/>
      <c r="G3" s="31"/>
      <c r="H3" s="31"/>
      <c r="I3" s="31"/>
      <c r="J3" s="31"/>
      <c r="K3" s="31"/>
      <c r="L3" s="31"/>
      <c r="M3" s="31"/>
      <c r="N3" s="31"/>
    </row>
    <row r="4" spans="1:22" ht="15.6">
      <c r="A4" s="32" t="s">
        <v>123</v>
      </c>
      <c r="B4" s="32"/>
      <c r="C4" s="32"/>
      <c r="D4" s="32"/>
      <c r="E4" s="32"/>
      <c r="F4" s="31"/>
      <c r="G4" s="32" t="s">
        <v>124</v>
      </c>
      <c r="H4" s="32"/>
      <c r="I4" s="32"/>
      <c r="J4" s="32"/>
      <c r="K4" s="32"/>
      <c r="L4" s="32"/>
      <c r="M4" s="32"/>
      <c r="N4" s="32"/>
      <c r="R4" s="15" t="s">
        <v>147</v>
      </c>
      <c r="S4" s="16"/>
    </row>
    <row r="5" spans="1:22">
      <c r="A5" s="33" t="s">
        <v>125</v>
      </c>
      <c r="B5" s="33"/>
      <c r="C5" s="33"/>
      <c r="D5" s="33"/>
      <c r="E5" s="33"/>
      <c r="F5" s="31"/>
      <c r="G5" s="34" t="s">
        <v>126</v>
      </c>
      <c r="H5" s="34"/>
      <c r="I5" s="34"/>
      <c r="J5" s="34"/>
      <c r="K5" s="34"/>
      <c r="L5" s="34"/>
      <c r="M5" s="34"/>
      <c r="N5" s="34"/>
      <c r="R5" s="17"/>
      <c r="S5" s="18"/>
    </row>
    <row r="6" spans="1:22" ht="49.2" customHeight="1" thickBot="1">
      <c r="A6" s="31"/>
      <c r="B6" s="31"/>
      <c r="C6" s="31"/>
      <c r="D6" s="31"/>
      <c r="E6" s="31"/>
      <c r="F6" s="31"/>
      <c r="G6" s="31"/>
      <c r="H6" s="31"/>
      <c r="I6" s="31"/>
      <c r="J6" s="31"/>
      <c r="K6" s="31"/>
      <c r="L6" s="31"/>
      <c r="M6" s="31"/>
      <c r="N6" s="31"/>
      <c r="R6" s="19"/>
      <c r="S6" s="20"/>
    </row>
    <row r="7" spans="1:22" ht="17.55" customHeight="1" thickBot="1">
      <c r="A7" s="35" t="s">
        <v>127</v>
      </c>
      <c r="B7" s="36" t="s">
        <v>58</v>
      </c>
      <c r="C7" s="36" t="s">
        <v>62</v>
      </c>
      <c r="D7" s="36" t="s">
        <v>128</v>
      </c>
      <c r="E7" s="37" t="s">
        <v>75</v>
      </c>
      <c r="F7" s="31"/>
      <c r="G7" s="35" t="s">
        <v>129</v>
      </c>
      <c r="H7" s="36" t="s">
        <v>127</v>
      </c>
      <c r="I7" s="36" t="s">
        <v>51</v>
      </c>
      <c r="J7" s="36" t="s">
        <v>55</v>
      </c>
      <c r="K7" s="36" t="s">
        <v>79</v>
      </c>
      <c r="L7" s="36" t="s">
        <v>82</v>
      </c>
      <c r="M7" s="36" t="s">
        <v>85</v>
      </c>
      <c r="N7" s="37" t="s">
        <v>88</v>
      </c>
      <c r="O7" s="2" t="s">
        <v>130</v>
      </c>
      <c r="P7" s="28" t="s">
        <v>131</v>
      </c>
      <c r="Q7" s="28" t="s">
        <v>132</v>
      </c>
      <c r="R7" s="21" t="s">
        <v>148</v>
      </c>
      <c r="S7" s="22"/>
      <c r="T7" s="28" t="s">
        <v>133</v>
      </c>
      <c r="U7" s="28" t="s">
        <v>134</v>
      </c>
      <c r="V7" s="28" t="s">
        <v>135</v>
      </c>
    </row>
    <row r="8" spans="1:22" ht="17.55" customHeight="1">
      <c r="A8" s="38" t="s">
        <v>136</v>
      </c>
      <c r="B8" s="39">
        <v>29</v>
      </c>
      <c r="C8" s="39">
        <v>32</v>
      </c>
      <c r="D8" s="40" t="str">
        <f t="shared" ref="D8:D27" si="0">IF(COUNTA(A8:C8)=0,"",IF(OR(A8="",NOT(ISNUMBER(B8)),NOT(ISNUMBER(C8)),B8&lt;=0,C8&lt;=0,COUNTIF($A$8:$A$27,A8)&gt;1),"REVISAR",IF(B8&lt;=C8,"Inicio","Final")))</f>
        <v>Inicio</v>
      </c>
      <c r="E8" s="41">
        <f>IF(OR(D8="Inicio",D8="Final"),IF(D8="Inicio",COUNTIFS($D$8:$D$27,"Inicio",$B$8:$B$27,"&lt;"&amp;B8)+COUNTIFS($D$8:D8,"Inicio",$B$8:B8,B8),COUNTIF($D$8:$D$27,"Inicio")+COUNTIFS($D$8:$D$27,"Final",$C$8:$C$27,"&gt;"&amp;C8)+COUNTIFS($D$8:D8,"Final",$C$8:C8,C8)),"")</f>
        <v>3</v>
      </c>
      <c r="F8" s="31"/>
      <c r="G8" s="42">
        <f>IF($D$31&lt;&gt;"LISTO","",IF(1&lt;=COUNTIF($D$8:$D$27,"Inicio")+COUNTIF($D$8:$D$27,"Final"),1,""))</f>
        <v>1</v>
      </c>
      <c r="H8" s="43" t="str">
        <f t="shared" ref="H8:H27" si="1">IF(G8="","",INDEX($A$8:$A$27,MATCH(G8,$E$8:$E$27,0)))</f>
        <v>C</v>
      </c>
      <c r="I8" s="44">
        <f t="shared" ref="I8:I27" si="2">IF(G8="","",INDEX($B$8:$B$27,MATCH(G8,$E$8:$E$27,0)))</f>
        <v>14</v>
      </c>
      <c r="J8" s="44">
        <f t="shared" ref="J8:J27" si="3">IF(G8="","",INDEX($C$8:$C$27,MATCH(G8,$E$8:$E$27,0)))</f>
        <v>28</v>
      </c>
      <c r="K8" s="44">
        <f>IF(H8="","",0)</f>
        <v>0</v>
      </c>
      <c r="L8" s="44">
        <f t="shared" ref="L8:L27" si="4">IF(H8="","",K8+I8)</f>
        <v>14</v>
      </c>
      <c r="M8" s="44">
        <f>IF(H8="","",L8)</f>
        <v>14</v>
      </c>
      <c r="N8" s="45">
        <f t="shared" ref="N8:N27" si="5">IF(H8="","",M8+J8)</f>
        <v>42</v>
      </c>
      <c r="O8" s="2">
        <f>IF(OR(D8="Inicio",D8="Final"),COUNTIF($D$8:D8,"Inicio")+COUNTIF($D$8:D8,"Final"),"")</f>
        <v>1</v>
      </c>
      <c r="P8" s="28" t="str">
        <f>IF($D$31&lt;&gt;"LISTO","",IF(1&gt;$A$33,"",INDEX($A$8:$A$27,MATCH(1,$O$8:$O$27,0))))</f>
        <v>A</v>
      </c>
      <c r="Q8" s="28">
        <f>IF($D$31&lt;&gt;"LISTO","",IF(1&gt;$A$33,"",INDEX($B$8:$B$27,MATCH(1,$O$8:$O$27,0))))</f>
        <v>29</v>
      </c>
      <c r="R8" s="28">
        <f>IF($D$31&lt;&gt;"LISTO","",IF(1&gt;$A$33,"",INDEX($C$8:$C$27,MATCH(1,$O$8:$O$27,0))))</f>
        <v>32</v>
      </c>
      <c r="S8" s="28">
        <f>IF(P8="","",0)</f>
        <v>0</v>
      </c>
      <c r="T8" s="28">
        <f t="shared" ref="T8:T27" si="6">IF(P8="","",S8+Q8)</f>
        <v>29</v>
      </c>
      <c r="U8" s="28">
        <f>IF(P8="","",T8)</f>
        <v>29</v>
      </c>
      <c r="V8" s="28">
        <f t="shared" ref="V8:V27" si="7">IF(P8="","",U8+R8)</f>
        <v>61</v>
      </c>
    </row>
    <row r="9" spans="1:22" ht="17.55" customHeight="1">
      <c r="A9" s="38" t="s">
        <v>137</v>
      </c>
      <c r="B9" s="39">
        <v>38</v>
      </c>
      <c r="C9" s="39">
        <v>10</v>
      </c>
      <c r="D9" s="40" t="str">
        <f t="shared" si="0"/>
        <v>Final</v>
      </c>
      <c r="E9" s="41">
        <f>IF(OR(D9="Inicio",D9="Final"),IF(D9="Inicio",COUNTIFS($D$8:$D$27,"Inicio",$B$8:$B$27,"&lt;"&amp;B9)+COUNTIFS($D$8:D9,"Inicio",$B$8:B9,B9),COUNTIF($D$8:$D$27,"Inicio")+COUNTIFS($D$8:$D$27,"Final",$C$8:$C$27,"&gt;"&amp;C9)+COUNTIFS($D$8:D9,"Final",$C$8:C9,C9)),"")</f>
        <v>5</v>
      </c>
      <c r="F9" s="31"/>
      <c r="G9" s="42">
        <f>IF($D$31&lt;&gt;"LISTO","",IF(2&lt;=COUNTIF($D$8:$D$27,"Inicio")+COUNTIF($D$8:$D$27,"Final"),2,""))</f>
        <v>2</v>
      </c>
      <c r="H9" s="43" t="str">
        <f t="shared" si="1"/>
        <v>D</v>
      </c>
      <c r="I9" s="44">
        <f t="shared" si="2"/>
        <v>28</v>
      </c>
      <c r="J9" s="44">
        <f t="shared" si="3"/>
        <v>33</v>
      </c>
      <c r="K9" s="44">
        <f t="shared" ref="K9:K27" si="8">IF(H9="","",L8)</f>
        <v>14</v>
      </c>
      <c r="L9" s="44">
        <f t="shared" si="4"/>
        <v>42</v>
      </c>
      <c r="M9" s="44">
        <f t="shared" ref="M9:M27" si="9">IF(H9="","",MAX(L9,N8))</f>
        <v>42</v>
      </c>
      <c r="N9" s="45">
        <f t="shared" si="5"/>
        <v>75</v>
      </c>
      <c r="O9" s="2">
        <f>IF(OR(D9="Inicio",D9="Final"),COUNTIF($D$8:D9,"Inicio")+COUNTIF($D$8:D9,"Final"),"")</f>
        <v>2</v>
      </c>
      <c r="P9" s="28" t="str">
        <f>IF($D$31&lt;&gt;"LISTO","",IF(2&gt;$A$33,"",INDEX($A$8:$A$27,MATCH(2,$O$8:$O$27,0))))</f>
        <v>B</v>
      </c>
      <c r="Q9" s="28">
        <f>IF($D$31&lt;&gt;"LISTO","",IF(2&gt;$A$33,"",INDEX($B$8:$B$27,MATCH(2,$O$8:$O$27,0))))</f>
        <v>38</v>
      </c>
      <c r="R9" s="28">
        <f>IF($D$31&lt;&gt;"LISTO","",IF(2&gt;$A$33,"",INDEX($C$8:$C$27,MATCH(2,$O$8:$O$27,0))))</f>
        <v>10</v>
      </c>
      <c r="S9" s="28">
        <f t="shared" ref="S9:S27" si="10">IF(P9="","",T8)</f>
        <v>29</v>
      </c>
      <c r="T9" s="28">
        <f t="shared" si="6"/>
        <v>67</v>
      </c>
      <c r="U9" s="28">
        <f t="shared" ref="U9:U27" si="11">IF(P9="","",MAX(T9,V8))</f>
        <v>67</v>
      </c>
      <c r="V9" s="28">
        <f t="shared" si="7"/>
        <v>77</v>
      </c>
    </row>
    <row r="10" spans="1:22" ht="17.55" customHeight="1">
      <c r="A10" s="38" t="s">
        <v>138</v>
      </c>
      <c r="B10" s="39">
        <v>14</v>
      </c>
      <c r="C10" s="39">
        <v>28</v>
      </c>
      <c r="D10" s="40" t="str">
        <f t="shared" si="0"/>
        <v>Inicio</v>
      </c>
      <c r="E10" s="41">
        <f>IF(OR(D10="Inicio",D10="Final"),IF(D10="Inicio",COUNTIFS($D$8:$D$27,"Inicio",$B$8:$B$27,"&lt;"&amp;B10)+COUNTIFS($D$8:D10,"Inicio",$B$8:B10,B10),COUNTIF($D$8:$D$27,"Inicio")+COUNTIFS($D$8:$D$27,"Final",$C$8:$C$27,"&gt;"&amp;C10)+COUNTIFS($D$8:D10,"Final",$C$8:C10,C10)),"")</f>
        <v>1</v>
      </c>
      <c r="F10" s="31"/>
      <c r="G10" s="42">
        <f>IF($D$31&lt;&gt;"LISTO","",IF(3&lt;=COUNTIF($D$8:$D$27,"Inicio")+COUNTIF($D$8:$D$27,"Final"),3,""))</f>
        <v>3</v>
      </c>
      <c r="H10" s="43" t="str">
        <f t="shared" si="1"/>
        <v>A</v>
      </c>
      <c r="I10" s="44">
        <f t="shared" si="2"/>
        <v>29</v>
      </c>
      <c r="J10" s="44">
        <f t="shared" si="3"/>
        <v>32</v>
      </c>
      <c r="K10" s="44">
        <f t="shared" si="8"/>
        <v>42</v>
      </c>
      <c r="L10" s="44">
        <f t="shared" si="4"/>
        <v>71</v>
      </c>
      <c r="M10" s="44">
        <f t="shared" si="9"/>
        <v>75</v>
      </c>
      <c r="N10" s="45">
        <f t="shared" si="5"/>
        <v>107</v>
      </c>
      <c r="O10" s="2">
        <f>IF(OR(D10="Inicio",D10="Final"),COUNTIF($D$8:D10,"Inicio")+COUNTIF($D$8:D10,"Final"),"")</f>
        <v>3</v>
      </c>
      <c r="P10" s="28" t="str">
        <f>IF($D$31&lt;&gt;"LISTO","",IF(3&gt;$A$33,"",INDEX($A$8:$A$27,MATCH(3,$O$8:$O$27,0))))</f>
        <v>C</v>
      </c>
      <c r="Q10" s="28">
        <f>IF($D$31&lt;&gt;"LISTO","",IF(3&gt;$A$33,"",INDEX($B$8:$B$27,MATCH(3,$O$8:$O$27,0))))</f>
        <v>14</v>
      </c>
      <c r="R10" s="28">
        <f>IF($D$31&lt;&gt;"LISTO","",IF(3&gt;$A$33,"",INDEX($C$8:$C$27,MATCH(3,$O$8:$O$27,0))))</f>
        <v>28</v>
      </c>
      <c r="S10" s="28">
        <f t="shared" si="10"/>
        <v>67</v>
      </c>
      <c r="T10" s="28">
        <f t="shared" si="6"/>
        <v>81</v>
      </c>
      <c r="U10" s="28">
        <f t="shared" si="11"/>
        <v>81</v>
      </c>
      <c r="V10" s="28">
        <f t="shared" si="7"/>
        <v>109</v>
      </c>
    </row>
    <row r="11" spans="1:22" ht="17.55" customHeight="1">
      <c r="A11" s="38" t="s">
        <v>139</v>
      </c>
      <c r="B11" s="39">
        <v>28</v>
      </c>
      <c r="C11" s="39">
        <v>33</v>
      </c>
      <c r="D11" s="40" t="str">
        <f t="shared" si="0"/>
        <v>Inicio</v>
      </c>
      <c r="E11" s="41">
        <f>IF(OR(D11="Inicio",D11="Final"),IF(D11="Inicio",COUNTIFS($D$8:$D$27,"Inicio",$B$8:$B$27,"&lt;"&amp;B11)+COUNTIFS($D$8:D11,"Inicio",$B$8:B11,B11),COUNTIF($D$8:$D$27,"Inicio")+COUNTIFS($D$8:$D$27,"Final",$C$8:$C$27,"&gt;"&amp;C11)+COUNTIFS($D$8:D11,"Final",$C$8:C11,C11)),"")</f>
        <v>2</v>
      </c>
      <c r="F11" s="31"/>
      <c r="G11" s="42">
        <f>IF($D$31&lt;&gt;"LISTO","",IF(4&lt;=COUNTIF($D$8:$D$27,"Inicio")+COUNTIF($D$8:$D$27,"Final"),4,""))</f>
        <v>4</v>
      </c>
      <c r="H11" s="43" t="str">
        <f t="shared" si="1"/>
        <v>E</v>
      </c>
      <c r="I11" s="44">
        <f t="shared" si="2"/>
        <v>36</v>
      </c>
      <c r="J11" s="44">
        <f t="shared" si="3"/>
        <v>40</v>
      </c>
      <c r="K11" s="44">
        <f t="shared" si="8"/>
        <v>71</v>
      </c>
      <c r="L11" s="44">
        <f t="shared" si="4"/>
        <v>107</v>
      </c>
      <c r="M11" s="44">
        <f t="shared" si="9"/>
        <v>107</v>
      </c>
      <c r="N11" s="45">
        <f t="shared" si="5"/>
        <v>147</v>
      </c>
      <c r="O11" s="2">
        <f>IF(OR(D11="Inicio",D11="Final"),COUNTIF($D$8:D11,"Inicio")+COUNTIF($D$8:D11,"Final"),"")</f>
        <v>4</v>
      </c>
      <c r="P11" s="28" t="str">
        <f>IF($D$31&lt;&gt;"LISTO","",IF(4&gt;$A$33,"",INDEX($A$8:$A$27,MATCH(4,$O$8:$O$27,0))))</f>
        <v>D</v>
      </c>
      <c r="Q11" s="28">
        <f>IF($D$31&lt;&gt;"LISTO","",IF(4&gt;$A$33,"",INDEX($B$8:$B$27,MATCH(4,$O$8:$O$27,0))))</f>
        <v>28</v>
      </c>
      <c r="R11" s="28">
        <f>IF($D$31&lt;&gt;"LISTO","",IF(4&gt;$A$33,"",INDEX($C$8:$C$27,MATCH(4,$O$8:$O$27,0))))</f>
        <v>33</v>
      </c>
      <c r="S11" s="28">
        <f t="shared" si="10"/>
        <v>81</v>
      </c>
      <c r="T11" s="28">
        <f t="shared" si="6"/>
        <v>109</v>
      </c>
      <c r="U11" s="28">
        <f t="shared" si="11"/>
        <v>109</v>
      </c>
      <c r="V11" s="28">
        <f t="shared" si="7"/>
        <v>142</v>
      </c>
    </row>
    <row r="12" spans="1:22" ht="17.55" customHeight="1">
      <c r="A12" s="38" t="s">
        <v>140</v>
      </c>
      <c r="B12" s="39">
        <v>36</v>
      </c>
      <c r="C12" s="39">
        <v>40</v>
      </c>
      <c r="D12" s="40" t="str">
        <f t="shared" si="0"/>
        <v>Inicio</v>
      </c>
      <c r="E12" s="41">
        <f>IF(OR(D12="Inicio",D12="Final"),IF(D12="Inicio",COUNTIFS($D$8:$D$27,"Inicio",$B$8:$B$27,"&lt;"&amp;B12)+COUNTIFS($D$8:D12,"Inicio",$B$8:B12,B12),COUNTIF($D$8:$D$27,"Inicio")+COUNTIFS($D$8:$D$27,"Final",$C$8:$C$27,"&gt;"&amp;C12)+COUNTIFS($D$8:D12,"Final",$C$8:C12,C12)),"")</f>
        <v>4</v>
      </c>
      <c r="F12" s="31"/>
      <c r="G12" s="42">
        <f>IF($D$31&lt;&gt;"LISTO","",IF(5&lt;=COUNTIF($D$8:$D$27,"Inicio")+COUNTIF($D$8:$D$27,"Final"),5,""))</f>
        <v>5</v>
      </c>
      <c r="H12" s="43" t="str">
        <f t="shared" si="1"/>
        <v>B</v>
      </c>
      <c r="I12" s="44">
        <f t="shared" si="2"/>
        <v>38</v>
      </c>
      <c r="J12" s="44">
        <f t="shared" si="3"/>
        <v>10</v>
      </c>
      <c r="K12" s="44">
        <f t="shared" si="8"/>
        <v>107</v>
      </c>
      <c r="L12" s="44">
        <f t="shared" si="4"/>
        <v>145</v>
      </c>
      <c r="M12" s="44">
        <f t="shared" si="9"/>
        <v>147</v>
      </c>
      <c r="N12" s="45">
        <f t="shared" si="5"/>
        <v>157</v>
      </c>
      <c r="O12" s="2">
        <f>IF(OR(D12="Inicio",D12="Final"),COUNTIF($D$8:D12,"Inicio")+COUNTIF($D$8:D12,"Final"),"")</f>
        <v>5</v>
      </c>
      <c r="P12" s="28" t="str">
        <f>IF($D$31&lt;&gt;"LISTO","",IF(5&gt;$A$33,"",INDEX($A$8:$A$27,MATCH(5,$O$8:$O$27,0))))</f>
        <v>E</v>
      </c>
      <c r="Q12" s="28">
        <f>IF($D$31&lt;&gt;"LISTO","",IF(5&gt;$A$33,"",INDEX($B$8:$B$27,MATCH(5,$O$8:$O$27,0))))</f>
        <v>36</v>
      </c>
      <c r="R12" s="28">
        <f>IF($D$31&lt;&gt;"LISTO","",IF(5&gt;$A$33,"",INDEX($C$8:$C$27,MATCH(5,$O$8:$O$27,0))))</f>
        <v>40</v>
      </c>
      <c r="S12" s="28">
        <f t="shared" si="10"/>
        <v>109</v>
      </c>
      <c r="T12" s="28">
        <f t="shared" si="6"/>
        <v>145</v>
      </c>
      <c r="U12" s="28">
        <f t="shared" si="11"/>
        <v>145</v>
      </c>
      <c r="V12" s="28">
        <f t="shared" si="7"/>
        <v>185</v>
      </c>
    </row>
    <row r="13" spans="1:22" ht="17.55" customHeight="1">
      <c r="A13" s="38"/>
      <c r="B13" s="39"/>
      <c r="C13" s="39"/>
      <c r="D13" s="40" t="str">
        <f t="shared" si="0"/>
        <v/>
      </c>
      <c r="E13" s="41" t="str">
        <f>IF(OR(D13="Inicio",D13="Final"),IF(D13="Inicio",COUNTIFS($D$8:$D$27,"Inicio",$B$8:$B$27,"&lt;"&amp;B13)+COUNTIFS($D$8:D13,"Inicio",$B$8:B13,B13),COUNTIF($D$8:$D$27,"Inicio")+COUNTIFS($D$8:$D$27,"Final",$C$8:$C$27,"&gt;"&amp;C13)+COUNTIFS($D$8:D13,"Final",$C$8:C13,C13)),"")</f>
        <v/>
      </c>
      <c r="F13" s="31"/>
      <c r="G13" s="42" t="str">
        <f>IF($D$31&lt;&gt;"LISTO","",IF(6&lt;=COUNTIF($D$8:$D$27,"Inicio")+COUNTIF($D$8:$D$27,"Final"),6,""))</f>
        <v/>
      </c>
      <c r="H13" s="43" t="str">
        <f t="shared" si="1"/>
        <v/>
      </c>
      <c r="I13" s="44" t="str">
        <f t="shared" si="2"/>
        <v/>
      </c>
      <c r="J13" s="44" t="str">
        <f t="shared" si="3"/>
        <v/>
      </c>
      <c r="K13" s="44" t="str">
        <f t="shared" si="8"/>
        <v/>
      </c>
      <c r="L13" s="44" t="str">
        <f t="shared" si="4"/>
        <v/>
      </c>
      <c r="M13" s="44" t="str">
        <f t="shared" si="9"/>
        <v/>
      </c>
      <c r="N13" s="45" t="str">
        <f t="shared" si="5"/>
        <v/>
      </c>
      <c r="O13" s="2" t="str">
        <f>IF(OR(D13="Inicio",D13="Final"),COUNTIF($D$8:D13,"Inicio")+COUNTIF($D$8:D13,"Final"),"")</f>
        <v/>
      </c>
      <c r="P13" s="28" t="str">
        <f>IF($D$31&lt;&gt;"LISTO","",IF(6&gt;$A$33,"",INDEX($A$8:$A$27,MATCH(6,$O$8:$O$27,0))))</f>
        <v/>
      </c>
      <c r="Q13" s="28" t="str">
        <f>IF($D$31&lt;&gt;"LISTO","",IF(6&gt;$A$33,"",INDEX($B$8:$B$27,MATCH(6,$O$8:$O$27,0))))</f>
        <v/>
      </c>
      <c r="R13" s="28" t="str">
        <f>IF($D$31&lt;&gt;"LISTO","",IF(6&gt;$A$33,"",INDEX($C$8:$C$27,MATCH(6,$O$8:$O$27,0))))</f>
        <v/>
      </c>
      <c r="S13" s="28" t="str">
        <f t="shared" si="10"/>
        <v/>
      </c>
      <c r="T13" s="28" t="str">
        <f t="shared" si="6"/>
        <v/>
      </c>
      <c r="U13" s="28" t="str">
        <f t="shared" si="11"/>
        <v/>
      </c>
      <c r="V13" s="28" t="str">
        <f t="shared" si="7"/>
        <v/>
      </c>
    </row>
    <row r="14" spans="1:22" ht="17.55" customHeight="1">
      <c r="A14" s="38"/>
      <c r="B14" s="39"/>
      <c r="C14" s="39"/>
      <c r="D14" s="40" t="str">
        <f t="shared" si="0"/>
        <v/>
      </c>
      <c r="E14" s="41" t="str">
        <f>IF(OR(D14="Inicio",D14="Final"),IF(D14="Inicio",COUNTIFS($D$8:$D$27,"Inicio",$B$8:$B$27,"&lt;"&amp;B14)+COUNTIFS($D$8:D14,"Inicio",$B$8:B14,B14),COUNTIF($D$8:$D$27,"Inicio")+COUNTIFS($D$8:$D$27,"Final",$C$8:$C$27,"&gt;"&amp;C14)+COUNTIFS($D$8:D14,"Final",$C$8:C14,C14)),"")</f>
        <v/>
      </c>
      <c r="F14" s="31"/>
      <c r="G14" s="42" t="str">
        <f>IF($D$31&lt;&gt;"LISTO","",IF(7&lt;=COUNTIF($D$8:$D$27,"Inicio")+COUNTIF($D$8:$D$27,"Final"),7,""))</f>
        <v/>
      </c>
      <c r="H14" s="43" t="str">
        <f t="shared" si="1"/>
        <v/>
      </c>
      <c r="I14" s="44" t="str">
        <f t="shared" si="2"/>
        <v/>
      </c>
      <c r="J14" s="44" t="str">
        <f t="shared" si="3"/>
        <v/>
      </c>
      <c r="K14" s="44" t="str">
        <f t="shared" si="8"/>
        <v/>
      </c>
      <c r="L14" s="44" t="str">
        <f t="shared" si="4"/>
        <v/>
      </c>
      <c r="M14" s="44" t="str">
        <f t="shared" si="9"/>
        <v/>
      </c>
      <c r="N14" s="45" t="str">
        <f t="shared" si="5"/>
        <v/>
      </c>
      <c r="O14" s="2" t="str">
        <f>IF(OR(D14="Inicio",D14="Final"),COUNTIF($D$8:D14,"Inicio")+COUNTIF($D$8:D14,"Final"),"")</f>
        <v/>
      </c>
      <c r="P14" s="28" t="str">
        <f>IF($D$31&lt;&gt;"LISTO","",IF(7&gt;$A$33,"",INDEX($A$8:$A$27,MATCH(7,$O$8:$O$27,0))))</f>
        <v/>
      </c>
      <c r="Q14" s="28" t="str">
        <f>IF($D$31&lt;&gt;"LISTO","",IF(7&gt;$A$33,"",INDEX($B$8:$B$27,MATCH(7,$O$8:$O$27,0))))</f>
        <v/>
      </c>
      <c r="R14" s="28" t="str">
        <f>IF($D$31&lt;&gt;"LISTO","",IF(7&gt;$A$33,"",INDEX($C$8:$C$27,MATCH(7,$O$8:$O$27,0))))</f>
        <v/>
      </c>
      <c r="S14" s="28" t="str">
        <f t="shared" si="10"/>
        <v/>
      </c>
      <c r="T14" s="28" t="str">
        <f t="shared" si="6"/>
        <v/>
      </c>
      <c r="U14" s="28" t="str">
        <f t="shared" si="11"/>
        <v/>
      </c>
      <c r="V14" s="28" t="str">
        <f t="shared" si="7"/>
        <v/>
      </c>
    </row>
    <row r="15" spans="1:22" ht="17.55" customHeight="1">
      <c r="A15" s="38"/>
      <c r="B15" s="39"/>
      <c r="C15" s="39"/>
      <c r="D15" s="40" t="str">
        <f t="shared" si="0"/>
        <v/>
      </c>
      <c r="E15" s="41" t="str">
        <f>IF(OR(D15="Inicio",D15="Final"),IF(D15="Inicio",COUNTIFS($D$8:$D$27,"Inicio",$B$8:$B$27,"&lt;"&amp;B15)+COUNTIFS($D$8:D15,"Inicio",$B$8:B15,B15),COUNTIF($D$8:$D$27,"Inicio")+COUNTIFS($D$8:$D$27,"Final",$C$8:$C$27,"&gt;"&amp;C15)+COUNTIFS($D$8:D15,"Final",$C$8:C15,C15)),"")</f>
        <v/>
      </c>
      <c r="F15" s="31"/>
      <c r="G15" s="42" t="str">
        <f>IF($D$31&lt;&gt;"LISTO","",IF(8&lt;=COUNTIF($D$8:$D$27,"Inicio")+COUNTIF($D$8:$D$27,"Final"),8,""))</f>
        <v/>
      </c>
      <c r="H15" s="43" t="str">
        <f t="shared" si="1"/>
        <v/>
      </c>
      <c r="I15" s="44" t="str">
        <f t="shared" si="2"/>
        <v/>
      </c>
      <c r="J15" s="44" t="str">
        <f t="shared" si="3"/>
        <v/>
      </c>
      <c r="K15" s="44" t="str">
        <f t="shared" si="8"/>
        <v/>
      </c>
      <c r="L15" s="44" t="str">
        <f t="shared" si="4"/>
        <v/>
      </c>
      <c r="M15" s="44" t="str">
        <f t="shared" si="9"/>
        <v/>
      </c>
      <c r="N15" s="45" t="str">
        <f t="shared" si="5"/>
        <v/>
      </c>
      <c r="O15" s="2" t="str">
        <f>IF(OR(D15="Inicio",D15="Final"),COUNTIF($D$8:D15,"Inicio")+COUNTIF($D$8:D15,"Final"),"")</f>
        <v/>
      </c>
      <c r="P15" s="28" t="str">
        <f>IF($D$31&lt;&gt;"LISTO","",IF(8&gt;$A$33,"",INDEX($A$8:$A$27,MATCH(8,$O$8:$O$27,0))))</f>
        <v/>
      </c>
      <c r="Q15" s="28" t="str">
        <f>IF($D$31&lt;&gt;"LISTO","",IF(8&gt;$A$33,"",INDEX($B$8:$B$27,MATCH(8,$O$8:$O$27,0))))</f>
        <v/>
      </c>
      <c r="R15" s="28" t="str">
        <f>IF($D$31&lt;&gt;"LISTO","",IF(8&gt;$A$33,"",INDEX($C$8:$C$27,MATCH(8,$O$8:$O$27,0))))</f>
        <v/>
      </c>
      <c r="S15" s="28" t="str">
        <f t="shared" si="10"/>
        <v/>
      </c>
      <c r="T15" s="28" t="str">
        <f t="shared" si="6"/>
        <v/>
      </c>
      <c r="U15" s="28" t="str">
        <f t="shared" si="11"/>
        <v/>
      </c>
      <c r="V15" s="28" t="str">
        <f t="shared" si="7"/>
        <v/>
      </c>
    </row>
    <row r="16" spans="1:22" ht="17.55" customHeight="1">
      <c r="A16" s="38"/>
      <c r="B16" s="39"/>
      <c r="C16" s="39"/>
      <c r="D16" s="40" t="str">
        <f t="shared" si="0"/>
        <v/>
      </c>
      <c r="E16" s="41" t="str">
        <f>IF(OR(D16="Inicio",D16="Final"),IF(D16="Inicio",COUNTIFS($D$8:$D$27,"Inicio",$B$8:$B$27,"&lt;"&amp;B16)+COUNTIFS($D$8:D16,"Inicio",$B$8:B16,B16),COUNTIF($D$8:$D$27,"Inicio")+COUNTIFS($D$8:$D$27,"Final",$C$8:$C$27,"&gt;"&amp;C16)+COUNTIFS($D$8:D16,"Final",$C$8:C16,C16)),"")</f>
        <v/>
      </c>
      <c r="F16" s="31"/>
      <c r="G16" s="42" t="str">
        <f>IF($D$31&lt;&gt;"LISTO","",IF(9&lt;=COUNTIF($D$8:$D$27,"Inicio")+COUNTIF($D$8:$D$27,"Final"),9,""))</f>
        <v/>
      </c>
      <c r="H16" s="43" t="str">
        <f t="shared" si="1"/>
        <v/>
      </c>
      <c r="I16" s="44" t="str">
        <f t="shared" si="2"/>
        <v/>
      </c>
      <c r="J16" s="44" t="str">
        <f t="shared" si="3"/>
        <v/>
      </c>
      <c r="K16" s="44" t="str">
        <f t="shared" si="8"/>
        <v/>
      </c>
      <c r="L16" s="44" t="str">
        <f t="shared" si="4"/>
        <v/>
      </c>
      <c r="M16" s="44" t="str">
        <f t="shared" si="9"/>
        <v/>
      </c>
      <c r="N16" s="45" t="str">
        <f t="shared" si="5"/>
        <v/>
      </c>
      <c r="O16" s="2" t="str">
        <f>IF(OR(D16="Inicio",D16="Final"),COUNTIF($D$8:D16,"Inicio")+COUNTIF($D$8:D16,"Final"),"")</f>
        <v/>
      </c>
      <c r="P16" s="28" t="str">
        <f>IF($D$31&lt;&gt;"LISTO","",IF(9&gt;$A$33,"",INDEX($A$8:$A$27,MATCH(9,$O$8:$O$27,0))))</f>
        <v/>
      </c>
      <c r="Q16" s="28" t="str">
        <f>IF($D$31&lt;&gt;"LISTO","",IF(9&gt;$A$33,"",INDEX($B$8:$B$27,MATCH(9,$O$8:$O$27,0))))</f>
        <v/>
      </c>
      <c r="R16" s="28" t="str">
        <f>IF($D$31&lt;&gt;"LISTO","",IF(9&gt;$A$33,"",INDEX($C$8:$C$27,MATCH(9,$O$8:$O$27,0))))</f>
        <v/>
      </c>
      <c r="S16" s="28" t="str">
        <f t="shared" si="10"/>
        <v/>
      </c>
      <c r="T16" s="28" t="str">
        <f t="shared" si="6"/>
        <v/>
      </c>
      <c r="U16" s="28" t="str">
        <f t="shared" si="11"/>
        <v/>
      </c>
      <c r="V16" s="28" t="str">
        <f t="shared" si="7"/>
        <v/>
      </c>
    </row>
    <row r="17" spans="1:22" ht="17.55" customHeight="1">
      <c r="A17" s="38"/>
      <c r="B17" s="39"/>
      <c r="C17" s="39"/>
      <c r="D17" s="40" t="str">
        <f t="shared" si="0"/>
        <v/>
      </c>
      <c r="E17" s="41" t="str">
        <f>IF(OR(D17="Inicio",D17="Final"),IF(D17="Inicio",COUNTIFS($D$8:$D$27,"Inicio",$B$8:$B$27,"&lt;"&amp;B17)+COUNTIFS($D$8:D17,"Inicio",$B$8:B17,B17),COUNTIF($D$8:$D$27,"Inicio")+COUNTIFS($D$8:$D$27,"Final",$C$8:$C$27,"&gt;"&amp;C17)+COUNTIFS($D$8:D17,"Final",$C$8:C17,C17)),"")</f>
        <v/>
      </c>
      <c r="F17" s="31"/>
      <c r="G17" s="42" t="str">
        <f>IF($D$31&lt;&gt;"LISTO","",IF(10&lt;=COUNTIF($D$8:$D$27,"Inicio")+COUNTIF($D$8:$D$27,"Final"),10,""))</f>
        <v/>
      </c>
      <c r="H17" s="43" t="str">
        <f t="shared" si="1"/>
        <v/>
      </c>
      <c r="I17" s="44" t="str">
        <f t="shared" si="2"/>
        <v/>
      </c>
      <c r="J17" s="44" t="str">
        <f t="shared" si="3"/>
        <v/>
      </c>
      <c r="K17" s="44" t="str">
        <f t="shared" si="8"/>
        <v/>
      </c>
      <c r="L17" s="44" t="str">
        <f t="shared" si="4"/>
        <v/>
      </c>
      <c r="M17" s="44" t="str">
        <f t="shared" si="9"/>
        <v/>
      </c>
      <c r="N17" s="45" t="str">
        <f t="shared" si="5"/>
        <v/>
      </c>
      <c r="O17" s="2" t="str">
        <f>IF(OR(D17="Inicio",D17="Final"),COUNTIF($D$8:D17,"Inicio")+COUNTIF($D$8:D17,"Final"),"")</f>
        <v/>
      </c>
      <c r="P17" s="28" t="str">
        <f>IF($D$31&lt;&gt;"LISTO","",IF(10&gt;$A$33,"",INDEX($A$8:$A$27,MATCH(10,$O$8:$O$27,0))))</f>
        <v/>
      </c>
      <c r="Q17" s="28" t="str">
        <f>IF($D$31&lt;&gt;"LISTO","",IF(10&gt;$A$33,"",INDEX($B$8:$B$27,MATCH(10,$O$8:$O$27,0))))</f>
        <v/>
      </c>
      <c r="R17" s="28" t="str">
        <f>IF($D$31&lt;&gt;"LISTO","",IF(10&gt;$A$33,"",INDEX($C$8:$C$27,MATCH(10,$O$8:$O$27,0))))</f>
        <v/>
      </c>
      <c r="S17" s="28" t="str">
        <f t="shared" si="10"/>
        <v/>
      </c>
      <c r="T17" s="28" t="str">
        <f t="shared" si="6"/>
        <v/>
      </c>
      <c r="U17" s="28" t="str">
        <f t="shared" si="11"/>
        <v/>
      </c>
      <c r="V17" s="28" t="str">
        <f t="shared" si="7"/>
        <v/>
      </c>
    </row>
    <row r="18" spans="1:22" ht="17.55" customHeight="1">
      <c r="A18" s="38"/>
      <c r="B18" s="39"/>
      <c r="C18" s="39"/>
      <c r="D18" s="40" t="str">
        <f t="shared" si="0"/>
        <v/>
      </c>
      <c r="E18" s="41" t="str">
        <f>IF(OR(D18="Inicio",D18="Final"),IF(D18="Inicio",COUNTIFS($D$8:$D$27,"Inicio",$B$8:$B$27,"&lt;"&amp;B18)+COUNTIFS($D$8:D18,"Inicio",$B$8:B18,B18),COUNTIF($D$8:$D$27,"Inicio")+COUNTIFS($D$8:$D$27,"Final",$C$8:$C$27,"&gt;"&amp;C18)+COUNTIFS($D$8:D18,"Final",$C$8:C18,C18)),"")</f>
        <v/>
      </c>
      <c r="F18" s="31"/>
      <c r="G18" s="42" t="str">
        <f>IF($D$31&lt;&gt;"LISTO","",IF(11&lt;=COUNTIF($D$8:$D$27,"Inicio")+COUNTIF($D$8:$D$27,"Final"),11,""))</f>
        <v/>
      </c>
      <c r="H18" s="43" t="str">
        <f t="shared" si="1"/>
        <v/>
      </c>
      <c r="I18" s="44" t="str">
        <f t="shared" si="2"/>
        <v/>
      </c>
      <c r="J18" s="44" t="str">
        <f t="shared" si="3"/>
        <v/>
      </c>
      <c r="K18" s="44" t="str">
        <f t="shared" si="8"/>
        <v/>
      </c>
      <c r="L18" s="44" t="str">
        <f t="shared" si="4"/>
        <v/>
      </c>
      <c r="M18" s="44" t="str">
        <f t="shared" si="9"/>
        <v/>
      </c>
      <c r="N18" s="45" t="str">
        <f t="shared" si="5"/>
        <v/>
      </c>
      <c r="O18" s="2" t="str">
        <f>IF(OR(D18="Inicio",D18="Final"),COUNTIF($D$8:D18,"Inicio")+COUNTIF($D$8:D18,"Final"),"")</f>
        <v/>
      </c>
      <c r="P18" s="28" t="str">
        <f>IF($D$31&lt;&gt;"LISTO","",IF(11&gt;$A$33,"",INDEX($A$8:$A$27,MATCH(11,$O$8:$O$27,0))))</f>
        <v/>
      </c>
      <c r="Q18" s="28" t="str">
        <f>IF($D$31&lt;&gt;"LISTO","",IF(11&gt;$A$33,"",INDEX($B$8:$B$27,MATCH(11,$O$8:$O$27,0))))</f>
        <v/>
      </c>
      <c r="R18" s="28" t="str">
        <f>IF($D$31&lt;&gt;"LISTO","",IF(11&gt;$A$33,"",INDEX($C$8:$C$27,MATCH(11,$O$8:$O$27,0))))</f>
        <v/>
      </c>
      <c r="S18" s="28" t="str">
        <f t="shared" si="10"/>
        <v/>
      </c>
      <c r="T18" s="28" t="str">
        <f t="shared" si="6"/>
        <v/>
      </c>
      <c r="U18" s="28" t="str">
        <f t="shared" si="11"/>
        <v/>
      </c>
      <c r="V18" s="28" t="str">
        <f t="shared" si="7"/>
        <v/>
      </c>
    </row>
    <row r="19" spans="1:22" ht="17.55" customHeight="1">
      <c r="A19" s="38"/>
      <c r="B19" s="39"/>
      <c r="C19" s="39"/>
      <c r="D19" s="40" t="str">
        <f t="shared" si="0"/>
        <v/>
      </c>
      <c r="E19" s="41" t="str">
        <f>IF(OR(D19="Inicio",D19="Final"),IF(D19="Inicio",COUNTIFS($D$8:$D$27,"Inicio",$B$8:$B$27,"&lt;"&amp;B19)+COUNTIFS($D$8:D19,"Inicio",$B$8:B19,B19),COUNTIF($D$8:$D$27,"Inicio")+COUNTIFS($D$8:$D$27,"Final",$C$8:$C$27,"&gt;"&amp;C19)+COUNTIFS($D$8:D19,"Final",$C$8:C19,C19)),"")</f>
        <v/>
      </c>
      <c r="F19" s="31"/>
      <c r="G19" s="42" t="str">
        <f>IF($D$31&lt;&gt;"LISTO","",IF(12&lt;=COUNTIF($D$8:$D$27,"Inicio")+COUNTIF($D$8:$D$27,"Final"),12,""))</f>
        <v/>
      </c>
      <c r="H19" s="43" t="str">
        <f t="shared" si="1"/>
        <v/>
      </c>
      <c r="I19" s="44" t="str">
        <f t="shared" si="2"/>
        <v/>
      </c>
      <c r="J19" s="44" t="str">
        <f t="shared" si="3"/>
        <v/>
      </c>
      <c r="K19" s="44" t="str">
        <f t="shared" si="8"/>
        <v/>
      </c>
      <c r="L19" s="44" t="str">
        <f t="shared" si="4"/>
        <v/>
      </c>
      <c r="M19" s="44" t="str">
        <f t="shared" si="9"/>
        <v/>
      </c>
      <c r="N19" s="45" t="str">
        <f t="shared" si="5"/>
        <v/>
      </c>
      <c r="O19" s="2" t="str">
        <f>IF(OR(D19="Inicio",D19="Final"),COUNTIF($D$8:D19,"Inicio")+COUNTIF($D$8:D19,"Final"),"")</f>
        <v/>
      </c>
      <c r="P19" s="28" t="str">
        <f>IF($D$31&lt;&gt;"LISTO","",IF(12&gt;$A$33,"",INDEX($A$8:$A$27,MATCH(12,$O$8:$O$27,0))))</f>
        <v/>
      </c>
      <c r="Q19" s="28" t="str">
        <f>IF($D$31&lt;&gt;"LISTO","",IF(12&gt;$A$33,"",INDEX($B$8:$B$27,MATCH(12,$O$8:$O$27,0))))</f>
        <v/>
      </c>
      <c r="R19" s="28" t="str">
        <f>IF($D$31&lt;&gt;"LISTO","",IF(12&gt;$A$33,"",INDEX($C$8:$C$27,MATCH(12,$O$8:$O$27,0))))</f>
        <v/>
      </c>
      <c r="S19" s="28" t="str">
        <f t="shared" si="10"/>
        <v/>
      </c>
      <c r="T19" s="28" t="str">
        <f t="shared" si="6"/>
        <v/>
      </c>
      <c r="U19" s="28" t="str">
        <f t="shared" si="11"/>
        <v/>
      </c>
      <c r="V19" s="28" t="str">
        <f t="shared" si="7"/>
        <v/>
      </c>
    </row>
    <row r="20" spans="1:22" ht="17.55" customHeight="1">
      <c r="A20" s="38"/>
      <c r="B20" s="39"/>
      <c r="C20" s="39"/>
      <c r="D20" s="40" t="str">
        <f t="shared" si="0"/>
        <v/>
      </c>
      <c r="E20" s="41" t="str">
        <f>IF(OR(D20="Inicio",D20="Final"),IF(D20="Inicio",COUNTIFS($D$8:$D$27,"Inicio",$B$8:$B$27,"&lt;"&amp;B20)+COUNTIFS($D$8:D20,"Inicio",$B$8:B20,B20),COUNTIF($D$8:$D$27,"Inicio")+COUNTIFS($D$8:$D$27,"Final",$C$8:$C$27,"&gt;"&amp;C20)+COUNTIFS($D$8:D20,"Final",$C$8:C20,C20)),"")</f>
        <v/>
      </c>
      <c r="F20" s="31"/>
      <c r="G20" s="42" t="str">
        <f>IF($D$31&lt;&gt;"LISTO","",IF(13&lt;=COUNTIF($D$8:$D$27,"Inicio")+COUNTIF($D$8:$D$27,"Final"),13,""))</f>
        <v/>
      </c>
      <c r="H20" s="43" t="str">
        <f t="shared" si="1"/>
        <v/>
      </c>
      <c r="I20" s="44" t="str">
        <f t="shared" si="2"/>
        <v/>
      </c>
      <c r="J20" s="44" t="str">
        <f t="shared" si="3"/>
        <v/>
      </c>
      <c r="K20" s="44" t="str">
        <f t="shared" si="8"/>
        <v/>
      </c>
      <c r="L20" s="44" t="str">
        <f t="shared" si="4"/>
        <v/>
      </c>
      <c r="M20" s="44" t="str">
        <f t="shared" si="9"/>
        <v/>
      </c>
      <c r="N20" s="45" t="str">
        <f t="shared" si="5"/>
        <v/>
      </c>
      <c r="O20" s="2" t="str">
        <f>IF(OR(D20="Inicio",D20="Final"),COUNTIF($D$8:D20,"Inicio")+COUNTIF($D$8:D20,"Final"),"")</f>
        <v/>
      </c>
      <c r="P20" s="28" t="str">
        <f>IF($D$31&lt;&gt;"LISTO","",IF(13&gt;$A$33,"",INDEX($A$8:$A$27,MATCH(13,$O$8:$O$27,0))))</f>
        <v/>
      </c>
      <c r="Q20" s="28" t="str">
        <f>IF($D$31&lt;&gt;"LISTO","",IF(13&gt;$A$33,"",INDEX($B$8:$B$27,MATCH(13,$O$8:$O$27,0))))</f>
        <v/>
      </c>
      <c r="R20" s="28" t="str">
        <f>IF($D$31&lt;&gt;"LISTO","",IF(13&gt;$A$33,"",INDEX($C$8:$C$27,MATCH(13,$O$8:$O$27,0))))</f>
        <v/>
      </c>
      <c r="S20" s="28" t="str">
        <f t="shared" si="10"/>
        <v/>
      </c>
      <c r="T20" s="28" t="str">
        <f t="shared" si="6"/>
        <v/>
      </c>
      <c r="U20" s="28" t="str">
        <f t="shared" si="11"/>
        <v/>
      </c>
      <c r="V20" s="28" t="str">
        <f t="shared" si="7"/>
        <v/>
      </c>
    </row>
    <row r="21" spans="1:22" ht="17.55" customHeight="1">
      <c r="A21" s="38"/>
      <c r="B21" s="39"/>
      <c r="C21" s="39"/>
      <c r="D21" s="40" t="str">
        <f t="shared" si="0"/>
        <v/>
      </c>
      <c r="E21" s="41" t="str">
        <f>IF(OR(D21="Inicio",D21="Final"),IF(D21="Inicio",COUNTIFS($D$8:$D$27,"Inicio",$B$8:$B$27,"&lt;"&amp;B21)+COUNTIFS($D$8:D21,"Inicio",$B$8:B21,B21),COUNTIF($D$8:$D$27,"Inicio")+COUNTIFS($D$8:$D$27,"Final",$C$8:$C$27,"&gt;"&amp;C21)+COUNTIFS($D$8:D21,"Final",$C$8:C21,C21)),"")</f>
        <v/>
      </c>
      <c r="F21" s="31"/>
      <c r="G21" s="42" t="str">
        <f>IF($D$31&lt;&gt;"LISTO","",IF(14&lt;=COUNTIF($D$8:$D$27,"Inicio")+COUNTIF($D$8:$D$27,"Final"),14,""))</f>
        <v/>
      </c>
      <c r="H21" s="43" t="str">
        <f t="shared" si="1"/>
        <v/>
      </c>
      <c r="I21" s="44" t="str">
        <f t="shared" si="2"/>
        <v/>
      </c>
      <c r="J21" s="44" t="str">
        <f t="shared" si="3"/>
        <v/>
      </c>
      <c r="K21" s="44" t="str">
        <f t="shared" si="8"/>
        <v/>
      </c>
      <c r="L21" s="44" t="str">
        <f t="shared" si="4"/>
        <v/>
      </c>
      <c r="M21" s="44" t="str">
        <f t="shared" si="9"/>
        <v/>
      </c>
      <c r="N21" s="45" t="str">
        <f t="shared" si="5"/>
        <v/>
      </c>
      <c r="O21" s="2" t="str">
        <f>IF(OR(D21="Inicio",D21="Final"),COUNTIF($D$8:D21,"Inicio")+COUNTIF($D$8:D21,"Final"),"")</f>
        <v/>
      </c>
      <c r="P21" s="28" t="str">
        <f>IF($D$31&lt;&gt;"LISTO","",IF(14&gt;$A$33,"",INDEX($A$8:$A$27,MATCH(14,$O$8:$O$27,0))))</f>
        <v/>
      </c>
      <c r="Q21" s="28" t="str">
        <f>IF($D$31&lt;&gt;"LISTO","",IF(14&gt;$A$33,"",INDEX($B$8:$B$27,MATCH(14,$O$8:$O$27,0))))</f>
        <v/>
      </c>
      <c r="R21" s="28" t="str">
        <f>IF($D$31&lt;&gt;"LISTO","",IF(14&gt;$A$33,"",INDEX($C$8:$C$27,MATCH(14,$O$8:$O$27,0))))</f>
        <v/>
      </c>
      <c r="S21" s="28" t="str">
        <f t="shared" si="10"/>
        <v/>
      </c>
      <c r="T21" s="28" t="str">
        <f t="shared" si="6"/>
        <v/>
      </c>
      <c r="U21" s="28" t="str">
        <f t="shared" si="11"/>
        <v/>
      </c>
      <c r="V21" s="28" t="str">
        <f t="shared" si="7"/>
        <v/>
      </c>
    </row>
    <row r="22" spans="1:22" ht="17.55" customHeight="1">
      <c r="A22" s="38"/>
      <c r="B22" s="39"/>
      <c r="C22" s="39"/>
      <c r="D22" s="40" t="str">
        <f t="shared" si="0"/>
        <v/>
      </c>
      <c r="E22" s="41" t="str">
        <f>IF(OR(D22="Inicio",D22="Final"),IF(D22="Inicio",COUNTIFS($D$8:$D$27,"Inicio",$B$8:$B$27,"&lt;"&amp;B22)+COUNTIFS($D$8:D22,"Inicio",$B$8:B22,B22),COUNTIF($D$8:$D$27,"Inicio")+COUNTIFS($D$8:$D$27,"Final",$C$8:$C$27,"&gt;"&amp;C22)+COUNTIFS($D$8:D22,"Final",$C$8:C22,C22)),"")</f>
        <v/>
      </c>
      <c r="F22" s="31"/>
      <c r="G22" s="42" t="str">
        <f>IF($D$31&lt;&gt;"LISTO","",IF(15&lt;=COUNTIF($D$8:$D$27,"Inicio")+COUNTIF($D$8:$D$27,"Final"),15,""))</f>
        <v/>
      </c>
      <c r="H22" s="43" t="str">
        <f t="shared" si="1"/>
        <v/>
      </c>
      <c r="I22" s="44" t="str">
        <f t="shared" si="2"/>
        <v/>
      </c>
      <c r="J22" s="44" t="str">
        <f t="shared" si="3"/>
        <v/>
      </c>
      <c r="K22" s="44" t="str">
        <f t="shared" si="8"/>
        <v/>
      </c>
      <c r="L22" s="44" t="str">
        <f t="shared" si="4"/>
        <v/>
      </c>
      <c r="M22" s="44" t="str">
        <f t="shared" si="9"/>
        <v/>
      </c>
      <c r="N22" s="45" t="str">
        <f t="shared" si="5"/>
        <v/>
      </c>
      <c r="O22" s="2" t="str">
        <f>IF(OR(D22="Inicio",D22="Final"),COUNTIF($D$8:D22,"Inicio")+COUNTIF($D$8:D22,"Final"),"")</f>
        <v/>
      </c>
      <c r="P22" s="28" t="str">
        <f>IF($D$31&lt;&gt;"LISTO","",IF(15&gt;$A$33,"",INDEX($A$8:$A$27,MATCH(15,$O$8:$O$27,0))))</f>
        <v/>
      </c>
      <c r="Q22" s="28" t="str">
        <f>IF($D$31&lt;&gt;"LISTO","",IF(15&gt;$A$33,"",INDEX($B$8:$B$27,MATCH(15,$O$8:$O$27,0))))</f>
        <v/>
      </c>
      <c r="R22" s="28" t="str">
        <f>IF($D$31&lt;&gt;"LISTO","",IF(15&gt;$A$33,"",INDEX($C$8:$C$27,MATCH(15,$O$8:$O$27,0))))</f>
        <v/>
      </c>
      <c r="S22" s="28" t="str">
        <f t="shared" si="10"/>
        <v/>
      </c>
      <c r="T22" s="28" t="str">
        <f t="shared" si="6"/>
        <v/>
      </c>
      <c r="U22" s="28" t="str">
        <f t="shared" si="11"/>
        <v/>
      </c>
      <c r="V22" s="28" t="str">
        <f t="shared" si="7"/>
        <v/>
      </c>
    </row>
    <row r="23" spans="1:22" ht="17.55" customHeight="1">
      <c r="A23" s="38"/>
      <c r="B23" s="39"/>
      <c r="C23" s="39"/>
      <c r="D23" s="40" t="str">
        <f t="shared" si="0"/>
        <v/>
      </c>
      <c r="E23" s="41" t="str">
        <f>IF(OR(D23="Inicio",D23="Final"),IF(D23="Inicio",COUNTIFS($D$8:$D$27,"Inicio",$B$8:$B$27,"&lt;"&amp;B23)+COUNTIFS($D$8:D23,"Inicio",$B$8:B23,B23),COUNTIF($D$8:$D$27,"Inicio")+COUNTIFS($D$8:$D$27,"Final",$C$8:$C$27,"&gt;"&amp;C23)+COUNTIFS($D$8:D23,"Final",$C$8:C23,C23)),"")</f>
        <v/>
      </c>
      <c r="F23" s="31"/>
      <c r="G23" s="42" t="str">
        <f>IF($D$31&lt;&gt;"LISTO","",IF(16&lt;=COUNTIF($D$8:$D$27,"Inicio")+COUNTIF($D$8:$D$27,"Final"),16,""))</f>
        <v/>
      </c>
      <c r="H23" s="43" t="str">
        <f t="shared" si="1"/>
        <v/>
      </c>
      <c r="I23" s="44" t="str">
        <f t="shared" si="2"/>
        <v/>
      </c>
      <c r="J23" s="44" t="str">
        <f t="shared" si="3"/>
        <v/>
      </c>
      <c r="K23" s="44" t="str">
        <f t="shared" si="8"/>
        <v/>
      </c>
      <c r="L23" s="44" t="str">
        <f t="shared" si="4"/>
        <v/>
      </c>
      <c r="M23" s="44" t="str">
        <f t="shared" si="9"/>
        <v/>
      </c>
      <c r="N23" s="45" t="str">
        <f t="shared" si="5"/>
        <v/>
      </c>
      <c r="O23" s="2" t="str">
        <f>IF(OR(D23="Inicio",D23="Final"),COUNTIF($D$8:D23,"Inicio")+COUNTIF($D$8:D23,"Final"),"")</f>
        <v/>
      </c>
      <c r="P23" s="28" t="str">
        <f>IF($D$31&lt;&gt;"LISTO","",IF(16&gt;$A$33,"",INDEX($A$8:$A$27,MATCH(16,$O$8:$O$27,0))))</f>
        <v/>
      </c>
      <c r="Q23" s="28" t="str">
        <f>IF($D$31&lt;&gt;"LISTO","",IF(16&gt;$A$33,"",INDEX($B$8:$B$27,MATCH(16,$O$8:$O$27,0))))</f>
        <v/>
      </c>
      <c r="R23" s="28" t="str">
        <f>IF($D$31&lt;&gt;"LISTO","",IF(16&gt;$A$33,"",INDEX($C$8:$C$27,MATCH(16,$O$8:$O$27,0))))</f>
        <v/>
      </c>
      <c r="S23" s="28" t="str">
        <f t="shared" si="10"/>
        <v/>
      </c>
      <c r="T23" s="28" t="str">
        <f t="shared" si="6"/>
        <v/>
      </c>
      <c r="U23" s="28" t="str">
        <f t="shared" si="11"/>
        <v/>
      </c>
      <c r="V23" s="28" t="str">
        <f t="shared" si="7"/>
        <v/>
      </c>
    </row>
    <row r="24" spans="1:22" ht="17.55" customHeight="1">
      <c r="A24" s="38"/>
      <c r="B24" s="39"/>
      <c r="C24" s="39"/>
      <c r="D24" s="40" t="str">
        <f t="shared" si="0"/>
        <v/>
      </c>
      <c r="E24" s="41" t="str">
        <f>IF(OR(D24="Inicio",D24="Final"),IF(D24="Inicio",COUNTIFS($D$8:$D$27,"Inicio",$B$8:$B$27,"&lt;"&amp;B24)+COUNTIFS($D$8:D24,"Inicio",$B$8:B24,B24),COUNTIF($D$8:$D$27,"Inicio")+COUNTIFS($D$8:$D$27,"Final",$C$8:$C$27,"&gt;"&amp;C24)+COUNTIFS($D$8:D24,"Final",$C$8:C24,C24)),"")</f>
        <v/>
      </c>
      <c r="F24" s="31"/>
      <c r="G24" s="42" t="str">
        <f>IF($D$31&lt;&gt;"LISTO","",IF(17&lt;=COUNTIF($D$8:$D$27,"Inicio")+COUNTIF($D$8:$D$27,"Final"),17,""))</f>
        <v/>
      </c>
      <c r="H24" s="43" t="str">
        <f t="shared" si="1"/>
        <v/>
      </c>
      <c r="I24" s="44" t="str">
        <f t="shared" si="2"/>
        <v/>
      </c>
      <c r="J24" s="44" t="str">
        <f t="shared" si="3"/>
        <v/>
      </c>
      <c r="K24" s="44" t="str">
        <f t="shared" si="8"/>
        <v/>
      </c>
      <c r="L24" s="44" t="str">
        <f t="shared" si="4"/>
        <v/>
      </c>
      <c r="M24" s="44" t="str">
        <f t="shared" si="9"/>
        <v/>
      </c>
      <c r="N24" s="45" t="str">
        <f t="shared" si="5"/>
        <v/>
      </c>
      <c r="O24" s="2" t="str">
        <f>IF(OR(D24="Inicio",D24="Final"),COUNTIF($D$8:D24,"Inicio")+COUNTIF($D$8:D24,"Final"),"")</f>
        <v/>
      </c>
      <c r="P24" s="28" t="str">
        <f>IF($D$31&lt;&gt;"LISTO","",IF(17&gt;$A$33,"",INDEX($A$8:$A$27,MATCH(17,$O$8:$O$27,0))))</f>
        <v/>
      </c>
      <c r="Q24" s="28" t="str">
        <f>IF($D$31&lt;&gt;"LISTO","",IF(17&gt;$A$33,"",INDEX($B$8:$B$27,MATCH(17,$O$8:$O$27,0))))</f>
        <v/>
      </c>
      <c r="R24" s="28" t="str">
        <f>IF($D$31&lt;&gt;"LISTO","",IF(17&gt;$A$33,"",INDEX($C$8:$C$27,MATCH(17,$O$8:$O$27,0))))</f>
        <v/>
      </c>
      <c r="S24" s="28" t="str">
        <f t="shared" si="10"/>
        <v/>
      </c>
      <c r="T24" s="28" t="str">
        <f t="shared" si="6"/>
        <v/>
      </c>
      <c r="U24" s="28" t="str">
        <f t="shared" si="11"/>
        <v/>
      </c>
      <c r="V24" s="28" t="str">
        <f t="shared" si="7"/>
        <v/>
      </c>
    </row>
    <row r="25" spans="1:22" ht="17.55" customHeight="1">
      <c r="A25" s="38"/>
      <c r="B25" s="39"/>
      <c r="C25" s="39"/>
      <c r="D25" s="40" t="str">
        <f t="shared" si="0"/>
        <v/>
      </c>
      <c r="E25" s="41" t="str">
        <f>IF(OR(D25="Inicio",D25="Final"),IF(D25="Inicio",COUNTIFS($D$8:$D$27,"Inicio",$B$8:$B$27,"&lt;"&amp;B25)+COUNTIFS($D$8:D25,"Inicio",$B$8:B25,B25),COUNTIF($D$8:$D$27,"Inicio")+COUNTIFS($D$8:$D$27,"Final",$C$8:$C$27,"&gt;"&amp;C25)+COUNTIFS($D$8:D25,"Final",$C$8:C25,C25)),"")</f>
        <v/>
      </c>
      <c r="F25" s="31"/>
      <c r="G25" s="42" t="str">
        <f>IF($D$31&lt;&gt;"LISTO","",IF(18&lt;=COUNTIF($D$8:$D$27,"Inicio")+COUNTIF($D$8:$D$27,"Final"),18,""))</f>
        <v/>
      </c>
      <c r="H25" s="43" t="str">
        <f t="shared" si="1"/>
        <v/>
      </c>
      <c r="I25" s="44" t="str">
        <f t="shared" si="2"/>
        <v/>
      </c>
      <c r="J25" s="44" t="str">
        <f t="shared" si="3"/>
        <v/>
      </c>
      <c r="K25" s="44" t="str">
        <f t="shared" si="8"/>
        <v/>
      </c>
      <c r="L25" s="44" t="str">
        <f t="shared" si="4"/>
        <v/>
      </c>
      <c r="M25" s="44" t="str">
        <f t="shared" si="9"/>
        <v/>
      </c>
      <c r="N25" s="45" t="str">
        <f t="shared" si="5"/>
        <v/>
      </c>
      <c r="O25" s="2" t="str">
        <f>IF(OR(D25="Inicio",D25="Final"),COUNTIF($D$8:D25,"Inicio")+COUNTIF($D$8:D25,"Final"),"")</f>
        <v/>
      </c>
      <c r="P25" s="28" t="str">
        <f>IF($D$31&lt;&gt;"LISTO","",IF(18&gt;$A$33,"",INDEX($A$8:$A$27,MATCH(18,$O$8:$O$27,0))))</f>
        <v/>
      </c>
      <c r="Q25" s="28" t="str">
        <f>IF($D$31&lt;&gt;"LISTO","",IF(18&gt;$A$33,"",INDEX($B$8:$B$27,MATCH(18,$O$8:$O$27,0))))</f>
        <v/>
      </c>
      <c r="R25" s="28" t="str">
        <f>IF($D$31&lt;&gt;"LISTO","",IF(18&gt;$A$33,"",INDEX($C$8:$C$27,MATCH(18,$O$8:$O$27,0))))</f>
        <v/>
      </c>
      <c r="S25" s="28" t="str">
        <f t="shared" si="10"/>
        <v/>
      </c>
      <c r="T25" s="28" t="str">
        <f t="shared" si="6"/>
        <v/>
      </c>
      <c r="U25" s="28" t="str">
        <f t="shared" si="11"/>
        <v/>
      </c>
      <c r="V25" s="28" t="str">
        <f t="shared" si="7"/>
        <v/>
      </c>
    </row>
    <row r="26" spans="1:22" ht="17.55" customHeight="1">
      <c r="A26" s="38"/>
      <c r="B26" s="39"/>
      <c r="C26" s="39"/>
      <c r="D26" s="40" t="str">
        <f t="shared" si="0"/>
        <v/>
      </c>
      <c r="E26" s="41" t="str">
        <f>IF(OR(D26="Inicio",D26="Final"),IF(D26="Inicio",COUNTIFS($D$8:$D$27,"Inicio",$B$8:$B$27,"&lt;"&amp;B26)+COUNTIFS($D$8:D26,"Inicio",$B$8:B26,B26),COUNTIF($D$8:$D$27,"Inicio")+COUNTIFS($D$8:$D$27,"Final",$C$8:$C$27,"&gt;"&amp;C26)+COUNTIFS($D$8:D26,"Final",$C$8:C26,C26)),"")</f>
        <v/>
      </c>
      <c r="F26" s="31"/>
      <c r="G26" s="42" t="str">
        <f>IF($D$31&lt;&gt;"LISTO","",IF(19&lt;=COUNTIF($D$8:$D$27,"Inicio")+COUNTIF($D$8:$D$27,"Final"),19,""))</f>
        <v/>
      </c>
      <c r="H26" s="43" t="str">
        <f t="shared" si="1"/>
        <v/>
      </c>
      <c r="I26" s="44" t="str">
        <f t="shared" si="2"/>
        <v/>
      </c>
      <c r="J26" s="44" t="str">
        <f t="shared" si="3"/>
        <v/>
      </c>
      <c r="K26" s="44" t="str">
        <f t="shared" si="8"/>
        <v/>
      </c>
      <c r="L26" s="44" t="str">
        <f t="shared" si="4"/>
        <v/>
      </c>
      <c r="M26" s="44" t="str">
        <f t="shared" si="9"/>
        <v/>
      </c>
      <c r="N26" s="45" t="str">
        <f t="shared" si="5"/>
        <v/>
      </c>
      <c r="O26" s="2" t="str">
        <f>IF(OR(D26="Inicio",D26="Final"),COUNTIF($D$8:D26,"Inicio")+COUNTIF($D$8:D26,"Final"),"")</f>
        <v/>
      </c>
      <c r="P26" s="28" t="str">
        <f>IF($D$31&lt;&gt;"LISTO","",IF(19&gt;$A$33,"",INDEX($A$8:$A$27,MATCH(19,$O$8:$O$27,0))))</f>
        <v/>
      </c>
      <c r="Q26" s="28" t="str">
        <f>IF($D$31&lt;&gt;"LISTO","",IF(19&gt;$A$33,"",INDEX($B$8:$B$27,MATCH(19,$O$8:$O$27,0))))</f>
        <v/>
      </c>
      <c r="R26" s="28" t="str">
        <f>IF($D$31&lt;&gt;"LISTO","",IF(19&gt;$A$33,"",INDEX($C$8:$C$27,MATCH(19,$O$8:$O$27,0))))</f>
        <v/>
      </c>
      <c r="S26" s="28" t="str">
        <f t="shared" si="10"/>
        <v/>
      </c>
      <c r="T26" s="28" t="str">
        <f t="shared" si="6"/>
        <v/>
      </c>
      <c r="U26" s="28" t="str">
        <f t="shared" si="11"/>
        <v/>
      </c>
      <c r="V26" s="28" t="str">
        <f t="shared" si="7"/>
        <v/>
      </c>
    </row>
    <row r="27" spans="1:22" ht="17.55" customHeight="1">
      <c r="A27" s="46"/>
      <c r="B27" s="47"/>
      <c r="C27" s="47"/>
      <c r="D27" s="48" t="str">
        <f t="shared" si="0"/>
        <v/>
      </c>
      <c r="E27" s="49" t="str">
        <f>IF(OR(D27="Inicio",D27="Final"),IF(D27="Inicio",COUNTIFS($D$8:$D$27,"Inicio",$B$8:$B$27,"&lt;"&amp;B27)+COUNTIFS($D$8:D27,"Inicio",$B$8:B27,B27),COUNTIF($D$8:$D$27,"Inicio")+COUNTIFS($D$8:$D$27,"Final",$C$8:$C$27,"&gt;"&amp;C27)+COUNTIFS($D$8:D27,"Final",$C$8:C27,C27)),"")</f>
        <v/>
      </c>
      <c r="F27" s="31"/>
      <c r="G27" s="50" t="str">
        <f>IF($D$31&lt;&gt;"LISTO","",IF(20&lt;=COUNTIF($D$8:$D$27,"Inicio")+COUNTIF($D$8:$D$27,"Final"),20,""))</f>
        <v/>
      </c>
      <c r="H27" s="51" t="str">
        <f t="shared" si="1"/>
        <v/>
      </c>
      <c r="I27" s="52" t="str">
        <f t="shared" si="2"/>
        <v/>
      </c>
      <c r="J27" s="52" t="str">
        <f t="shared" si="3"/>
        <v/>
      </c>
      <c r="K27" s="52" t="str">
        <f t="shared" si="8"/>
        <v/>
      </c>
      <c r="L27" s="52" t="str">
        <f t="shared" si="4"/>
        <v/>
      </c>
      <c r="M27" s="52" t="str">
        <f t="shared" si="9"/>
        <v/>
      </c>
      <c r="N27" s="53" t="str">
        <f t="shared" si="5"/>
        <v/>
      </c>
      <c r="O27" s="2" t="str">
        <f>IF(OR(D27="Inicio",D27="Final"),COUNTIF($D$8:D27,"Inicio")+COUNTIF($D$8:D27,"Final"),"")</f>
        <v/>
      </c>
      <c r="P27" s="28" t="str">
        <f>IF($D$31&lt;&gt;"LISTO","",IF(20&gt;$A$33,"",INDEX($A$8:$A$27,MATCH(20,$O$8:$O$27,0))))</f>
        <v/>
      </c>
      <c r="Q27" s="28" t="str">
        <f>IF($D$31&lt;&gt;"LISTO","",IF(20&gt;$A$33,"",INDEX($B$8:$B$27,MATCH(20,$O$8:$O$27,0))))</f>
        <v/>
      </c>
      <c r="R27" s="28" t="str">
        <f>IF($D$31&lt;&gt;"LISTO","",IF(20&gt;$A$33,"",INDEX($C$8:$C$27,MATCH(20,$O$8:$O$27,0))))</f>
        <v/>
      </c>
      <c r="S27" s="28" t="str">
        <f t="shared" si="10"/>
        <v/>
      </c>
      <c r="T27" s="28" t="str">
        <f t="shared" si="6"/>
        <v/>
      </c>
      <c r="U27" s="28" t="str">
        <f t="shared" si="11"/>
        <v/>
      </c>
      <c r="V27" s="28" t="str">
        <f t="shared" si="7"/>
        <v/>
      </c>
    </row>
    <row r="28" spans="1:22" ht="19.2" customHeight="1">
      <c r="A28" s="31"/>
      <c r="B28" s="31"/>
      <c r="C28" s="31"/>
      <c r="D28" s="54" t="s">
        <v>141</v>
      </c>
      <c r="E28" s="54"/>
      <c r="F28" s="31"/>
      <c r="G28" s="31"/>
      <c r="H28" s="31"/>
      <c r="I28" s="31"/>
      <c r="J28" s="31"/>
      <c r="K28" s="31"/>
      <c r="L28" s="31"/>
      <c r="M28" s="31"/>
      <c r="N28" s="31"/>
    </row>
    <row r="29" spans="1:22">
      <c r="A29" s="31"/>
      <c r="B29" s="31"/>
      <c r="C29" s="31"/>
      <c r="D29" s="31"/>
      <c r="E29" s="31"/>
      <c r="F29" s="31"/>
      <c r="G29" s="31"/>
      <c r="H29" s="31"/>
      <c r="I29" s="31"/>
      <c r="J29" s="31"/>
      <c r="K29" s="31"/>
      <c r="L29" s="31"/>
      <c r="M29" s="31"/>
      <c r="N29" s="31"/>
    </row>
    <row r="30" spans="1:22" ht="17.55" customHeight="1">
      <c r="A30" s="32" t="s">
        <v>142</v>
      </c>
      <c r="B30" s="32"/>
      <c r="C30" s="32"/>
      <c r="D30" s="32"/>
      <c r="E30" s="32"/>
      <c r="F30" s="32"/>
      <c r="G30" s="32"/>
      <c r="H30" s="32"/>
      <c r="I30" s="32"/>
      <c r="J30" s="32"/>
      <c r="K30" s="32"/>
      <c r="L30" s="32"/>
      <c r="M30" s="32"/>
      <c r="N30" s="32"/>
    </row>
    <row r="31" spans="1:22" ht="25.65" customHeight="1">
      <c r="A31" s="55" t="s">
        <v>108</v>
      </c>
      <c r="B31" s="55"/>
      <c r="C31" s="55"/>
      <c r="D31" s="56" t="str">
        <f>IF(COUNTA($A$28:$C$29)&gt;0,"REVISAR",IF(COUNTA($A$8:$C$27)=0,"FALTA INFORMACIÓN",IF(COUNTIF($D$8:$D$27,"REVISAR")&gt;0,"REVISAR",IF(COUNTIF($D$8:$D$27,"Inicio")+COUNTIF($D$8:$D$27,"Final")&lt;2,"FALTA INFORMACIÓN","LISTO"))))</f>
        <v>LISTO</v>
      </c>
      <c r="E31" s="56"/>
      <c r="F31" s="31"/>
      <c r="G31" s="57" t="str">
        <f>IF(D31="LISTO","Datos válidos. Revisa la secuencia y los indicadores.",IF(D31="REVISAR","Corrige filas incompletas, tiempos no numéricos o ≤0, IDs duplicados o datos pegados fuera del área de 20 trabajos.","Ingresa al menos 2 trabajos completos para calcular."))</f>
        <v>Datos válidos. Revisa la secuencia y los indicadores.</v>
      </c>
      <c r="H31" s="57"/>
      <c r="I31" s="57"/>
      <c r="J31" s="57"/>
      <c r="K31" s="57"/>
      <c r="L31" s="57"/>
      <c r="M31" s="57"/>
      <c r="N31" s="57"/>
    </row>
    <row r="32" spans="1:22" ht="17.55" customHeight="1">
      <c r="A32" s="58" t="s">
        <v>143</v>
      </c>
      <c r="B32" s="58"/>
      <c r="C32" s="58"/>
      <c r="D32" s="58" t="s">
        <v>144</v>
      </c>
      <c r="E32" s="58"/>
      <c r="F32" s="58"/>
      <c r="G32" s="58" t="s">
        <v>145</v>
      </c>
      <c r="H32" s="58"/>
      <c r="I32" s="58"/>
      <c r="J32" s="58" t="s">
        <v>98</v>
      </c>
      <c r="K32" s="58"/>
      <c r="L32" s="58"/>
      <c r="M32" s="58" t="s">
        <v>101</v>
      </c>
      <c r="N32" s="58"/>
    </row>
    <row r="33" spans="1:14" ht="17.55" customHeight="1">
      <c r="A33" s="59">
        <f>IF($D$31="LISTO",COUNTIF($D$8:$D$27,"Inicio")+COUNTIF($D$8:$D$27,"Final"),"")</f>
        <v>5</v>
      </c>
      <c r="B33" s="59"/>
      <c r="C33" s="59"/>
      <c r="D33" s="60">
        <f>IF($D$31&lt;&gt;"LISTO","",INDEX($V$8:$V$27,$A$33))</f>
        <v>185</v>
      </c>
      <c r="E33" s="60"/>
      <c r="F33" s="60"/>
      <c r="G33" s="60">
        <f>IF($D$31&lt;&gt;"LISTO","",MAX($N$8:$N$27))</f>
        <v>157</v>
      </c>
      <c r="H33" s="60"/>
      <c r="I33" s="60"/>
      <c r="J33" s="60">
        <f>IF($D$31&lt;&gt;"LISTO","",D33-G33)</f>
        <v>28</v>
      </c>
      <c r="K33" s="60"/>
      <c r="L33" s="60"/>
      <c r="M33" s="61">
        <f>IF($D$31&lt;&gt;"LISTO","",IF(D33=0,"",J33/D33))</f>
        <v>0.15135135135135136</v>
      </c>
      <c r="N33" s="61"/>
    </row>
    <row r="34" spans="1:14" ht="17.55" customHeight="1">
      <c r="A34" s="59"/>
      <c r="B34" s="59"/>
      <c r="C34" s="59"/>
      <c r="D34" s="60"/>
      <c r="E34" s="60"/>
      <c r="F34" s="60"/>
      <c r="G34" s="60"/>
      <c r="H34" s="60"/>
      <c r="I34" s="60"/>
      <c r="J34" s="60"/>
      <c r="K34" s="60"/>
      <c r="L34" s="60"/>
      <c r="M34" s="61"/>
      <c r="N34" s="61"/>
    </row>
    <row r="35" spans="1:14" ht="17.55" customHeight="1">
      <c r="A35" s="31"/>
      <c r="B35" s="31"/>
      <c r="C35" s="31"/>
      <c r="D35" s="31"/>
      <c r="E35" s="31"/>
      <c r="F35" s="31"/>
      <c r="G35" s="31"/>
      <c r="H35" s="31"/>
      <c r="I35" s="31"/>
      <c r="J35" s="31"/>
      <c r="K35" s="31"/>
      <c r="L35" s="31"/>
      <c r="M35" s="31"/>
      <c r="N35" s="31"/>
    </row>
    <row r="36" spans="1:14" ht="28.8" customHeight="1">
      <c r="A36" s="62" t="s">
        <v>146</v>
      </c>
      <c r="B36" s="63"/>
      <c r="C36" s="63"/>
      <c r="D36" s="63"/>
      <c r="E36" s="63"/>
      <c r="F36" s="63"/>
      <c r="G36" s="63"/>
      <c r="H36" s="63"/>
      <c r="I36" s="63"/>
      <c r="J36" s="63"/>
      <c r="K36" s="63"/>
      <c r="L36" s="63"/>
      <c r="M36" s="63"/>
      <c r="N36" s="63"/>
    </row>
    <row r="37" spans="1:14" ht="17.55" customHeight="1">
      <c r="A37" s="63"/>
      <c r="B37" s="63"/>
      <c r="C37" s="63"/>
      <c r="D37" s="63"/>
      <c r="E37" s="63"/>
      <c r="F37" s="63"/>
      <c r="G37" s="63"/>
      <c r="H37" s="63"/>
      <c r="I37" s="63"/>
      <c r="J37" s="63"/>
      <c r="K37" s="63"/>
      <c r="L37" s="63"/>
      <c r="M37" s="63"/>
      <c r="N37" s="63"/>
    </row>
    <row r="38" spans="1:14">
      <c r="A38" s="31"/>
      <c r="B38" s="31"/>
      <c r="C38" s="31"/>
      <c r="D38" s="31"/>
      <c r="E38" s="31"/>
      <c r="F38" s="31"/>
      <c r="G38" s="31"/>
      <c r="H38" s="31"/>
      <c r="I38" s="31"/>
      <c r="J38" s="31"/>
      <c r="K38" s="31"/>
      <c r="L38" s="31"/>
      <c r="M38" s="31"/>
      <c r="N38" s="31"/>
    </row>
    <row r="39" spans="1:14">
      <c r="A39" s="31"/>
      <c r="B39" s="31"/>
      <c r="C39" s="31"/>
      <c r="D39" s="31"/>
      <c r="E39" s="31"/>
      <c r="F39" s="31"/>
      <c r="G39" s="31"/>
      <c r="H39" s="31"/>
      <c r="I39" s="31"/>
      <c r="J39" s="31"/>
      <c r="K39" s="31"/>
      <c r="L39" s="31"/>
      <c r="M39" s="31"/>
      <c r="N39" s="31"/>
    </row>
  </sheetData>
  <mergeCells count="17">
    <mergeCell ref="R4:S6"/>
    <mergeCell ref="R7:S7"/>
    <mergeCell ref="A30:N30"/>
    <mergeCell ref="A32:C32"/>
    <mergeCell ref="D32:F32"/>
    <mergeCell ref="G32:I32"/>
    <mergeCell ref="J32:L32"/>
    <mergeCell ref="M32:N32"/>
    <mergeCell ref="A31:C31"/>
    <mergeCell ref="D31:E31"/>
    <mergeCell ref="G31:N31"/>
    <mergeCell ref="A1:N1"/>
    <mergeCell ref="A2:N2"/>
    <mergeCell ref="A4:E4"/>
    <mergeCell ref="G4:N4"/>
    <mergeCell ref="A5:E5"/>
    <mergeCell ref="G5:N5"/>
  </mergeCells>
  <conditionalFormatting sqref="A8:C27">
    <cfRule type="expression" dxfId="4" priority="1">
      <formula>AND($A8&lt;&gt;"",OR($B8&lt;=0,$C8&lt;=0))</formula>
    </cfRule>
  </conditionalFormatting>
  <conditionalFormatting sqref="A8:E27">
    <cfRule type="expression" dxfId="3" priority="2">
      <formula>$D8="REVISAR"</formula>
    </cfRule>
  </conditionalFormatting>
  <conditionalFormatting sqref="D31:E31">
    <cfRule type="expression" dxfId="2" priority="3">
      <formula>$D$31="LISTO"</formula>
    </cfRule>
    <cfRule type="expression" dxfId="1" priority="4">
      <formula>$D$31="REVISAR"</formula>
    </cfRule>
    <cfRule type="expression" dxfId="0" priority="5">
      <formula>$D$31="FALTA INFORMACIÓN"</formula>
    </cfRule>
  </conditionalFormatting>
  <dataValidations count="1">
    <dataValidation type="decimal" operator="greaterThan" allowBlank="1" showErrorMessage="1" errorTitle="Tiempo no válido" error="Ingresa un valor numérico mayor que cero. Usa la misma unidad de tiempo en M1 y M2." sqref="B8:C27" xr:uid="{00000000-0002-0000-0200-000000000000}">
      <formula1>0</formula1>
    </dataValidation>
  </dataValidations>
  <hyperlinks>
    <hyperlink ref="R7" r:id="rId1" xr:uid="{C934357C-77CA-4D40-968B-87AB5A93C146}"/>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 Instrucciones</vt:lpstr>
      <vt:lpstr>2. Glosario</vt:lpstr>
      <vt:lpstr>3. Regla de Johnson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2026-09-18T13:32:02Z</dcterms:modified>
</cp:coreProperties>
</file>