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1E27B5B-6E32-4739-A0F4-9B1C49E226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Diseño" sheetId="3" r:id="rId3"/>
    <sheet name="Corridas" sheetId="4" r:id="rId4"/>
    <sheet name="Resultado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5" l="1"/>
  <c r="A33" i="5"/>
  <c r="G32" i="5"/>
  <c r="A32" i="5"/>
  <c r="G31" i="5"/>
  <c r="A31" i="5"/>
  <c r="A26" i="5"/>
  <c r="A25" i="5"/>
  <c r="A24" i="5"/>
  <c r="E23" i="5"/>
  <c r="A23" i="5"/>
  <c r="A22" i="5"/>
  <c r="A21" i="5"/>
  <c r="A20" i="5"/>
  <c r="A19" i="5"/>
  <c r="A18" i="5"/>
  <c r="B15" i="5"/>
  <c r="K21" i="4"/>
  <c r="H21" i="4"/>
  <c r="G21" i="4"/>
  <c r="I21" i="4" s="1"/>
  <c r="M14" i="4"/>
  <c r="N14" i="4" s="1"/>
  <c r="F26" i="5" s="1"/>
  <c r="L14" i="4"/>
  <c r="E26" i="5" s="1"/>
  <c r="K14" i="4"/>
  <c r="D26" i="5" s="1"/>
  <c r="J14" i="4"/>
  <c r="C26" i="5" s="1"/>
  <c r="G14" i="4"/>
  <c r="E14" i="4"/>
  <c r="C14" i="4"/>
  <c r="M13" i="4"/>
  <c r="B25" i="5" s="1"/>
  <c r="K13" i="4"/>
  <c r="D25" i="5" s="1"/>
  <c r="J13" i="4"/>
  <c r="C25" i="5" s="1"/>
  <c r="G13" i="4"/>
  <c r="E13" i="4"/>
  <c r="C13" i="4"/>
  <c r="M12" i="4"/>
  <c r="B24" i="5" s="1"/>
  <c r="K12" i="4"/>
  <c r="D24" i="5" s="1"/>
  <c r="J12" i="4"/>
  <c r="L12" i="4" s="1"/>
  <c r="E24" i="5" s="1"/>
  <c r="G12" i="4"/>
  <c r="E12" i="4"/>
  <c r="C12" i="4"/>
  <c r="M11" i="4"/>
  <c r="B23" i="5" s="1"/>
  <c r="L11" i="4"/>
  <c r="K11" i="4"/>
  <c r="D23" i="5" s="1"/>
  <c r="J11" i="4"/>
  <c r="C23" i="5" s="1"/>
  <c r="G11" i="4"/>
  <c r="E11" i="4"/>
  <c r="C11" i="4"/>
  <c r="M10" i="4"/>
  <c r="B22" i="5" s="1"/>
  <c r="K10" i="4"/>
  <c r="D22" i="5" s="1"/>
  <c r="J10" i="4"/>
  <c r="C22" i="5" s="1"/>
  <c r="G10" i="4"/>
  <c r="E10" i="4"/>
  <c r="C10" i="4"/>
  <c r="M9" i="4"/>
  <c r="N9" i="4" s="1"/>
  <c r="F21" i="5" s="1"/>
  <c r="K9" i="4"/>
  <c r="D21" i="5" s="1"/>
  <c r="J9" i="4"/>
  <c r="L9" i="4" s="1"/>
  <c r="E21" i="5" s="1"/>
  <c r="G9" i="4"/>
  <c r="E9" i="4"/>
  <c r="C9" i="4"/>
  <c r="M8" i="4"/>
  <c r="N8" i="4" s="1"/>
  <c r="F20" i="5" s="1"/>
  <c r="L8" i="4"/>
  <c r="E20" i="5" s="1"/>
  <c r="K8" i="4"/>
  <c r="D20" i="5" s="1"/>
  <c r="J8" i="4"/>
  <c r="C20" i="5" s="1"/>
  <c r="G8" i="4"/>
  <c r="E8" i="4"/>
  <c r="C8" i="4"/>
  <c r="M7" i="4"/>
  <c r="N7" i="4" s="1"/>
  <c r="F19" i="5" s="1"/>
  <c r="K7" i="4"/>
  <c r="D19" i="5" s="1"/>
  <c r="J7" i="4"/>
  <c r="C19" i="5" s="1"/>
  <c r="G7" i="4"/>
  <c r="E7" i="4"/>
  <c r="C7" i="4"/>
  <c r="M6" i="4"/>
  <c r="B18" i="5" s="1"/>
  <c r="K6" i="4"/>
  <c r="D18" i="5" s="1"/>
  <c r="J6" i="4"/>
  <c r="B7" i="5" s="1"/>
  <c r="G6" i="4"/>
  <c r="E6" i="4"/>
  <c r="C6" i="4"/>
  <c r="I3" i="4"/>
  <c r="H3" i="4"/>
  <c r="B19" i="5" l="1"/>
  <c r="B26" i="5"/>
  <c r="N11" i="4"/>
  <c r="F23" i="5" s="1"/>
  <c r="N10" i="4"/>
  <c r="F22" i="5" s="1"/>
  <c r="B20" i="5"/>
  <c r="N13" i="4"/>
  <c r="F25" i="5" s="1"/>
  <c r="B13" i="5"/>
  <c r="B11" i="5"/>
  <c r="B10" i="5"/>
  <c r="L7" i="4"/>
  <c r="E19" i="5" s="1"/>
  <c r="L10" i="4"/>
  <c r="E22" i="5" s="1"/>
  <c r="L13" i="4"/>
  <c r="E25" i="5" s="1"/>
  <c r="C21" i="5"/>
  <c r="B21" i="5"/>
  <c r="L6" i="4"/>
  <c r="E18" i="5" s="1"/>
  <c r="N6" i="4"/>
  <c r="F18" i="5" s="1"/>
  <c r="N12" i="4"/>
  <c r="F24" i="5" s="1"/>
  <c r="C18" i="5"/>
  <c r="C24" i="5"/>
  <c r="B32" i="5" l="1"/>
  <c r="D33" i="5"/>
  <c r="D32" i="5"/>
  <c r="B33" i="5"/>
  <c r="B9" i="5"/>
  <c r="C33" i="5"/>
  <c r="C32" i="5"/>
  <c r="B8" i="5"/>
  <c r="C31" i="5"/>
  <c r="D31" i="5"/>
  <c r="B31" i="5"/>
  <c r="B12" i="5"/>
  <c r="E33" i="5" l="1"/>
  <c r="J32" i="5" s="1"/>
  <c r="E32" i="5"/>
  <c r="J31" i="5" s="1"/>
  <c r="E31" i="5"/>
  <c r="F31" i="5" s="1"/>
  <c r="B21" i="4" s="1"/>
  <c r="F33" i="5" l="1"/>
  <c r="D21" i="4" s="1"/>
  <c r="F32" i="5"/>
  <c r="C21" i="4" s="1"/>
  <c r="J21" i="4"/>
  <c r="B14" i="5" s="1"/>
  <c r="J30" i="5"/>
</calcChain>
</file>

<file path=xl/sharedStrings.xml><?xml version="1.0" encoding="utf-8"?>
<sst xmlns="http://schemas.openxmlformats.org/spreadsheetml/2006/main" count="310" uniqueCount="271">
  <si>
    <t>Plantilla básica–intermedia | Experimento Taguchi</t>
  </si>
  <si>
    <t>Objetivo: organizar un experimento L9 con 3 factores de control, 3 niveles y 2 condiciones de ruido, registrar resultados y revisar robustez sin usar análisis estadístico avanzado.</t>
  </si>
  <si>
    <t>Cómo usar la plantilla</t>
  </si>
  <si>
    <t>Paso</t>
  </si>
  <si>
    <t>Qué hacer</t>
  </si>
  <si>
    <t>Dónde</t>
  </si>
  <si>
    <t>Resultado esperado</t>
  </si>
  <si>
    <t>Lee estas instrucciones y revisa el glosario antes de borrar el ejemplo.</t>
  </si>
  <si>
    <t>Instrucciones / Glosario</t>
  </si>
  <si>
    <t>Comprender los campos y cálculos.</t>
  </si>
  <si>
    <t>En Diseño, sustituye el ejemplo por tu objetivo, respuesta, unidad, criterio S/N, valor objetivo/tolerancia, factor de ruido y factores A, B y C con sus niveles.</t>
  </si>
  <si>
    <t>Diseño</t>
  </si>
  <si>
    <t>Definir qué quieres probar y medir.</t>
  </si>
  <si>
    <t>No cambies los códigos 1, 2 y 3 del arreglo L9. La hoja Corridas trae la estructura lista y toma automáticamente los valores definidos en Diseño.</t>
  </si>
  <si>
    <t>Corridas</t>
  </si>
  <si>
    <t>Mantener intacta la estructura del experimento.</t>
  </si>
  <si>
    <t>Borra únicamente los resultados de ejemplo en las columnas de captura y escribe mediciones numéricas reales para las dos condiciones de ruido.</t>
  </si>
  <si>
    <t>Registrar 18 observaciones: 2 por cada una de las 9 corridas.</t>
  </si>
  <si>
    <t>Revisa Promedio, Rango, Desviación al objetivo, S/N y Estado. Esas columnas se calculan automáticamente.</t>
  </si>
  <si>
    <t>Comparar respuesta y estabilidad.</t>
  </si>
  <si>
    <t>Consulta Resultados solo cuando las 9 corridas estén completas y las S/N sean válidas. Si falta información, el resumen mostrará una alerta en lugar de una recomendación.</t>
  </si>
  <si>
    <t>Resultados</t>
  </si>
  <si>
    <t>Identificar configuraciones candidatas.</t>
  </si>
  <si>
    <t>En Prueba de confirmación, deja “S/N por nivel” para probar la combinación sugerida o elige una corrida 1–9 para repetir una configuración observada. Captura dos nuevas respuestas antes de estandarizar.</t>
  </si>
  <si>
    <t>Validar antes de convertir la configuración en estándar.</t>
  </si>
  <si>
    <t>Ejemplo incluido</t>
  </si>
  <si>
    <t>El archivo usa un caso coherente con la entrada: una empresa quiere mantener el diámetro de una galleta cerca de 70 mm. Factores de control: temperatura, tiempo e ingrediente X. Factor de ruido: humedad de la materia prima (baja/alta). Cuando vayas a usar la plantilla, sustituye los datos del ejemplo por los tuyos. No necesitas crear hojas nuevas.</t>
  </si>
  <si>
    <t>Alertas que puedes ver</t>
  </si>
  <si>
    <t>FALTA INFORMACIÓN: faltan datos numéricos. REVISAR S/N: la relación señal/ruido no puede calcularse con seguridad. REVISAR DISEÑO: revisa objetivo, tolerancia o criterio. REVISAR CONFIGURACIÓN: la combinación de confirmación no está completa. REVISAR ESTRUCTURA L9: los códigos del arreglo fueron modificados. Si Resultados muestra “EJEMPLO: reemplaza confirmación”, sustituye también las dos respuestas del bloque de confirmación.</t>
  </si>
  <si>
    <t>Qué debes editar y qué no</t>
  </si>
  <si>
    <t>Tipo de celda</t>
  </si>
  <si>
    <t>Qué significa</t>
  </si>
  <si>
    <t>Acción</t>
  </si>
  <si>
    <t>Azul claro</t>
  </si>
  <si>
    <t>Dato de entrada del usuario</t>
  </si>
  <si>
    <t>Puedes sustituir el ejemplo.</t>
  </si>
  <si>
    <t>Gris claro</t>
  </si>
  <si>
    <t>Cálculo o referencia automática</t>
  </si>
  <si>
    <t>No borres la fórmula.</t>
  </si>
  <si>
    <t>Azul marino</t>
  </si>
  <si>
    <t>Encabezados y secciones</t>
  </si>
  <si>
    <t>No requiere edición.</t>
  </si>
  <si>
    <t>Amarillo claro</t>
  </si>
  <si>
    <t>Aviso importante</t>
  </si>
  <si>
    <t>Lee antes de continuar.</t>
  </si>
  <si>
    <t>Alcance de esta versión</t>
  </si>
  <si>
    <t>Esta plantilla es básica–intermedia: trabaja con 3 factores de control, 3 niveles, un arreglo L9, dos condiciones de ruido y una variable de respuesta. Calcula promedio, rango, desviación al objetivo y relación señal/ruido. No incluye ANOVA, optimización avanzada, análisis profundo de interacciones, diseños dinámicos ni múltiples respuestas. Si tu experimento requiere esas funciones, conviene utilizar una herramienta estadística especializada o una plantilla avanzada.</t>
  </si>
  <si>
    <t>Glosario de la plantilla Taguchi</t>
  </si>
  <si>
    <t>Término</t>
  </si>
  <si>
    <t>Definición simple</t>
  </si>
  <si>
    <t>Cómo aparece en la plantilla</t>
  </si>
  <si>
    <t>Ejemplo</t>
  </si>
  <si>
    <t>Método Taguchi</t>
  </si>
  <si>
    <t>Enfoque de diseño experimental orientado a encontrar configuraciones menos sensibles a la variación.</t>
  </si>
  <si>
    <t>Estructura completa de Diseño, Corridas y Resultados.</t>
  </si>
  <si>
    <t>Buscar parámetros que mantengan el diámetro estable.</t>
  </si>
  <si>
    <t>Diseño robusto</t>
  </si>
  <si>
    <t>Diseño cuyo desempeño cambia poco cuando cambian condiciones difíciles de controlar.</t>
  </si>
  <si>
    <t>Objetivo general del archivo.</t>
  </si>
  <si>
    <t>Mantener la respuesta cerca de 70 mm aunque cambie la humedad.</t>
  </si>
  <si>
    <t>Factor de control</t>
  </si>
  <si>
    <t>Variable que puedes decidir o ajustar.</t>
  </si>
  <si>
    <t>Factores A, B y C en Diseño.</t>
  </si>
  <si>
    <t>Temperatura del horno.</t>
  </si>
  <si>
    <t>Factor de ruido</t>
  </si>
  <si>
    <t>Condición que afecta la respuesta, pero es difícil o costoso mantener fija.</t>
  </si>
  <si>
    <t>Factor de ruido y sus dos condiciones.</t>
  </si>
  <si>
    <t>Humedad de la materia prima.</t>
  </si>
  <si>
    <t>Nivel</t>
  </si>
  <si>
    <t>Valor o condición que se prueba para un factor.</t>
  </si>
  <si>
    <t>Nivel 1, Nivel 2 y Nivel 3.</t>
  </si>
  <si>
    <t>170, 180 y 190 °C.</t>
  </si>
  <si>
    <t>Variable de respuesta</t>
  </si>
  <si>
    <t>Resultado que se mide en cada prueba.</t>
  </si>
  <si>
    <t>Campo Variable de respuesta y columnas de captura.</t>
  </si>
  <si>
    <t>Diámetro final.</t>
  </si>
  <si>
    <t>Unidad</t>
  </si>
  <si>
    <t>Unidad con la que se expresa la respuesta o un factor.</t>
  </si>
  <si>
    <t>Campos de Diseño y etiquetas de lectura.</t>
  </si>
  <si>
    <t>mm, °C, min, %.</t>
  </si>
  <si>
    <t>Valor objetivo</t>
  </si>
  <si>
    <t>Valor que se desea alcanzar cuando el criterio es Nominal es mejor.</t>
  </si>
  <si>
    <t>Campo Valor objetivo.</t>
  </si>
  <si>
    <t>70 mm.</t>
  </si>
  <si>
    <t>Tolerancia</t>
  </si>
  <si>
    <t>Margen aceptable alrededor del valor objetivo.</t>
  </si>
  <si>
    <t>Campo Tolerancia ±.</t>
  </si>
  <si>
    <t>±0,5 mm.</t>
  </si>
  <si>
    <t>Corrida</t>
  </si>
  <si>
    <t>Una combinación específica de niveles de los factores.</t>
  </si>
  <si>
    <t>Filas 1 a 9 en Corridas.</t>
  </si>
  <si>
    <t>A=2, B=2, C=3.</t>
  </si>
  <si>
    <t>Arreglo ortogonal</t>
  </si>
  <si>
    <t>Estructura balanceada que organiza las combinaciones del experimento.</t>
  </si>
  <si>
    <t>Códigos de niveles en Corridas.</t>
  </si>
  <si>
    <t>L9.</t>
  </si>
  <si>
    <t>L9</t>
  </si>
  <si>
    <t>Arreglo ortogonal de 9 corridas.</t>
  </si>
  <si>
    <t>Nueve filas de captura en Corridas.</t>
  </si>
  <si>
    <t>9 combinaciones de 3 factores.</t>
  </si>
  <si>
    <t>Promedio</t>
  </si>
  <si>
    <t>Media de las dos observaciones de respuesta de una corrida.</t>
  </si>
  <si>
    <t>Columna Promedio.</t>
  </si>
  <si>
    <t>(70,2 + 69,9) / 2 = 70,05.</t>
  </si>
  <si>
    <t>Rango entre condiciones</t>
  </si>
  <si>
    <t>Diferencia absoluta entre la respuesta más alta y la más baja de una corrida.</t>
  </si>
  <si>
    <t>Columna Rango ruido.</t>
  </si>
  <si>
    <t>0,3 mm.</t>
  </si>
  <si>
    <t>Desviación al objetivo</t>
  </si>
  <si>
    <t>Distancia absoluta entre el promedio y el valor objetivo.</t>
  </si>
  <si>
    <t>Columna Desv. objetivo.</t>
  </si>
  <si>
    <t>|70,05 - 70| = 0,05 mm.</t>
  </si>
  <si>
    <t>Relación señal/ruido (S/N)</t>
  </si>
  <si>
    <t>Indicador Taguchi usado para comparar robustez según el objetivo de la respuesta.</t>
  </si>
  <si>
    <t>Columna S/N y resumen.</t>
  </si>
  <si>
    <t>Se busca una S/N mayor dentro del mismo criterio.</t>
  </si>
  <si>
    <t>Mayor es mejor</t>
  </si>
  <si>
    <t>Criterio S/N usado cuando se desea maximizar la respuesta.</t>
  </si>
  <si>
    <t>Lista Criterio S/N en Diseño.</t>
  </si>
  <si>
    <t>Resistencia o rendimiento.</t>
  </si>
  <si>
    <t>Menor es mejor</t>
  </si>
  <si>
    <t>Criterio S/N usado cuando se desea minimizar la respuesta.</t>
  </si>
  <si>
    <t>Defectos o desperdicio.</t>
  </si>
  <si>
    <t>Nominal es mejor</t>
  </si>
  <si>
    <t>Criterio usado cuando la respuesta debe mantenerse cerca de un valor específico.</t>
  </si>
  <si>
    <t>Criterio del ejemplo.</t>
  </si>
  <si>
    <t>Diámetro objetivo de 70 mm.</t>
  </si>
  <si>
    <t>Estado</t>
  </si>
  <si>
    <t>Validación simple contra la tolerancia cuando se usa Nominal es mejor.</t>
  </si>
  <si>
    <t>Columna Estado.</t>
  </si>
  <si>
    <t>Dentro de tolerancia / Fuera de tolerancia.</t>
  </si>
  <si>
    <t>Prueba de confirmación</t>
  </si>
  <si>
    <t>Prueba final realizada con la configuración candidata para comprobar que el resultado se reproduce.</t>
  </si>
  <si>
    <t>Bloque inferior de Corridas.</t>
  </si>
  <si>
    <t>Repetir la combinación elegida bajo ambas condiciones de ruido.</t>
  </si>
  <si>
    <t>FALTA INFORMACIÓN</t>
  </si>
  <si>
    <t>Alerta que indica que faltan datos numéricos necesarios para calcular o resumir el experimento.</t>
  </si>
  <si>
    <t>Estado o resumen.</t>
  </si>
  <si>
    <t>Completa las dos respuestas de cada corrida.</t>
  </si>
  <si>
    <t>REVISAR S/N</t>
  </si>
  <si>
    <t>Alerta que indica que la relación señal/ruido no puede calcularse de forma segura con los datos actuales.</t>
  </si>
  <si>
    <t>Puede aparecer con valores no válidos para el criterio, varianza cero o resultados extremos.</t>
  </si>
  <si>
    <t>REVISAR DISEÑO</t>
  </si>
  <si>
    <t>Alerta que indica que un parámetro del diseño necesario para interpretar el resultado es inválido o está incompleto.</t>
  </si>
  <si>
    <t>En Nominal es mejor, revisa valor objetivo y tolerancia.</t>
  </si>
  <si>
    <t>REVISAR CONFIGURACIÓN</t>
  </si>
  <si>
    <t>Alerta de la prueba de confirmación cuando la combinación seleccionada no está disponible o completa.</t>
  </si>
  <si>
    <t>Prueba de confirmación.</t>
  </si>
  <si>
    <t>Completa las 9 corridas o elige una corrida válida.</t>
  </si>
  <si>
    <t>S/N válida</t>
  </si>
  <si>
    <t>Indica que la relación señal/ruido de una corrida pudo calcularse con el criterio seleccionado.</t>
  </si>
  <si>
    <t>Estado en criterios Mayor es mejor o Menor es mejor.</t>
  </si>
  <si>
    <t>No significa aprobación automática; compara S/N y rango.</t>
  </si>
  <si>
    <t>Revisar promedio/rango</t>
  </si>
  <si>
    <t>Mensaje de confirmación para criterios Mayor es mejor o Menor es mejor.</t>
  </si>
  <si>
    <t>Estado de la prueba de confirmación.</t>
  </si>
  <si>
    <t>Comprueba que la respuesta vaya en la dirección buscada y que el rango sea aceptable.</t>
  </si>
  <si>
    <t>REVISAR ESTRUCTURA L9</t>
  </si>
  <si>
    <t>Alerta que indica que los números de corrida o códigos de nivel del arreglo L9 fueron modificados.</t>
  </si>
  <si>
    <t>Indicador de integridad en Resultados.</t>
  </si>
  <si>
    <t>Restaura el patrón L9 antes de interpretar resultados.</t>
  </si>
  <si>
    <t>Diseño del experimento</t>
  </si>
  <si>
    <t>Sustituye las celdas azul claro por tus datos. El ejemplo usa diámetro de galleta, 3 factores y humedad como factor de ruido.</t>
  </si>
  <si>
    <t>1. Datos generales</t>
  </si>
  <si>
    <t>Campo</t>
  </si>
  <si>
    <t>Valor</t>
  </si>
  <si>
    <t>Ayuda</t>
  </si>
  <si>
    <t>Nombre del experimento</t>
  </si>
  <si>
    <t>Robustez del diámetro de galletas</t>
  </si>
  <si>
    <t>Nombre corto para identificar la prueba.</t>
  </si>
  <si>
    <t>Objetivo</t>
  </si>
  <si>
    <t>Mantener el diámetro cerca de 70 mm pese a cambios de humedad</t>
  </si>
  <si>
    <t>Expresa qué quieres estabilizar o mejorar.</t>
  </si>
  <si>
    <t>Diámetro final</t>
  </si>
  <si>
    <t>Resultado que medirás en cada corrida.</t>
  </si>
  <si>
    <t>Unidad de respuesta</t>
  </si>
  <si>
    <t>mm</t>
  </si>
  <si>
    <t>Unidad de la variable de respuesta.</t>
  </si>
  <si>
    <t>Criterio S/N</t>
  </si>
  <si>
    <t>Elige Mayor es mejor, Menor es mejor o Nominal es mejor.</t>
  </si>
  <si>
    <t>Se usa principalmente con Nominal es mejor.</t>
  </si>
  <si>
    <t>Tolerancia ±</t>
  </si>
  <si>
    <t>Margen aceptable alrededor del objetivo.</t>
  </si>
  <si>
    <t>2. Factor de ruido</t>
  </si>
  <si>
    <t>Humedad de la materia prima</t>
  </si>
  <si>
    <t>Condición que afecta la respuesta y no deseas o no puedes mantener fija.</t>
  </si>
  <si>
    <t>Condición 1</t>
  </si>
  <si>
    <t>Baja</t>
  </si>
  <si>
    <t>Primer escenario de ruido.</t>
  </si>
  <si>
    <t>Condición 2</t>
  </si>
  <si>
    <t>Alta</t>
  </si>
  <si>
    <t>Segundo escenario de ruido.</t>
  </si>
  <si>
    <t>3. Factores de control y niveles</t>
  </si>
  <si>
    <t>Código</t>
  </si>
  <si>
    <t>Factor</t>
  </si>
  <si>
    <t>Nivel 1</t>
  </si>
  <si>
    <t>Nivel 2</t>
  </si>
  <si>
    <t>Nivel 3</t>
  </si>
  <si>
    <t>A</t>
  </si>
  <si>
    <t>Temperatura</t>
  </si>
  <si>
    <t>°C</t>
  </si>
  <si>
    <t>B</t>
  </si>
  <si>
    <t>Tiempo</t>
  </si>
  <si>
    <t>min</t>
  </si>
  <si>
    <t>C</t>
  </si>
  <si>
    <t>Ingrediente X</t>
  </si>
  <si>
    <t>%</t>
  </si>
  <si>
    <t>Nota operativa</t>
  </si>
  <si>
    <t>Esta versión trabaja con exactamente 3 factores de control y 3 niveles por factor. Si tu caso tiene menos factores, utiliza solo aquellos realmente necesarios y mantén el esquema L9 sin borrar columnas ni fórmulas. Si tienes más factores, más niveles, múltiples respuestas o necesitas analizar interacciones en profundidad, esta versión se queda corta.</t>
  </si>
  <si>
    <t>Corridas del experimento L9</t>
  </si>
  <si>
    <t>Captura únicamente las respuestas en las celdas azul claro. No cambies los códigos de nivel 1–3 del arreglo L9 ni borres las columnas calculadas.</t>
  </si>
  <si>
    <t>Configuración L9</t>
  </si>
  <si>
    <t>Captura de respuesta</t>
  </si>
  <si>
    <t>Cálculos automáticos</t>
  </si>
  <si>
    <t>Notas</t>
  </si>
  <si>
    <t>Nivel A</t>
  </si>
  <si>
    <t>Valor A</t>
  </si>
  <si>
    <t>Nivel B</t>
  </si>
  <si>
    <t>Valor B</t>
  </si>
  <si>
    <t>Nivel C</t>
  </si>
  <si>
    <t>Valor C</t>
  </si>
  <si>
    <t>Respuesta C1</t>
  </si>
  <si>
    <t>Respuesta C2</t>
  </si>
  <si>
    <t>Rango ruido</t>
  </si>
  <si>
    <t>Desv. objetivo</t>
  </si>
  <si>
    <t>S/N</t>
  </si>
  <si>
    <t>Observaciones</t>
  </si>
  <si>
    <t>Deja “S/N por nivel” para probar la combinación orientativa sugerida en Resultados o elige una corrida 1–9 para repetirla. Captura dos nuevas respuestas bajo las condiciones de ruido y revisa el estado antes de estandarizar.</t>
  </si>
  <si>
    <t>Configuración a confirmar</t>
  </si>
  <si>
    <t>Rango</t>
  </si>
  <si>
    <t>Decisión</t>
  </si>
  <si>
    <t>S/N por nivel</t>
  </si>
  <si>
    <t>Ejemplo: resultado consistente; revisar antes de aprobar.</t>
  </si>
  <si>
    <t>Resumen e interpretación</t>
  </si>
  <si>
    <t>Usa este resumen como apoyo a la decisión. La mayor S/N es una señal de robustez, pero debe interpretarse junto con el objetivo, la tolerancia, el rango y la prueba de confirmación.</t>
  </si>
  <si>
    <t>Indicadores principales</t>
  </si>
  <si>
    <t>Indicador</t>
  </si>
  <si>
    <t>Resultado</t>
  </si>
  <si>
    <t>Cómo leerlo</t>
  </si>
  <si>
    <t>Lectura recomendada</t>
  </si>
  <si>
    <t>Corridas completas</t>
  </si>
  <si>
    <t>Debe llegar a 9 antes de interpretar.</t>
  </si>
  <si>
    <t>1) Verifica que las 9 corridas estén completas.  2) Identifica la corrida con mayor S/N.  3) Si usas Nominal es mejor, comprueba también cercanía al objetivo y tolerancia.  4) Revisa el rango entre las dos condiciones de ruido: un rango menor indica menos sensibilidad en este ejemplo.  5) No estandarices una configuración hasta completar la prueba de confirmación.</t>
  </si>
  <si>
    <t>Corrida con mayor S/N</t>
  </si>
  <si>
    <t>Candidata por robustez bajo el criterio S/N elegido.</t>
  </si>
  <si>
    <t>Mayor S/N</t>
  </si>
  <si>
    <t>Compare solo corridas bajo el mismo criterio.</t>
  </si>
  <si>
    <t>Corrida con menor rango</t>
  </si>
  <si>
    <t>Menor diferencia entre las dos condiciones de ruido.</t>
  </si>
  <si>
    <t>Menor rango</t>
  </si>
  <si>
    <t>Menor valor indica mayor estabilidad entre C1 y C2.</t>
  </si>
  <si>
    <t>Corrida más cercana al objetivo</t>
  </si>
  <si>
    <t>Solo aplica a Nominal es mejor.</t>
  </si>
  <si>
    <t>Menor desviación al objetivo</t>
  </si>
  <si>
    <t>Más cerca de cero significa mayor cercanía al objetivo.</t>
  </si>
  <si>
    <t>Confirmación</t>
  </si>
  <si>
    <t>Resultado de la prueba de confirmación.</t>
  </si>
  <si>
    <t>Integridad del arreglo L9</t>
  </si>
  <si>
    <t>Debe mostrar OK antes de interpretar resultados.</t>
  </si>
  <si>
    <t>Comparación de las 9 corridas</t>
  </si>
  <si>
    <t>Promedio S/N por nivel de cada factor</t>
  </si>
  <si>
    <t>Configuración candidata por S/N</t>
  </si>
  <si>
    <t>Mejor nivel S/N</t>
  </si>
  <si>
    <t>Valor del nivel</t>
  </si>
  <si>
    <t>Factor A</t>
  </si>
  <si>
    <t>Factor B</t>
  </si>
  <si>
    <t>Factor C</t>
  </si>
  <si>
    <t>Esta combinación es una guía basada en el promedio S/N por nivel. Confirma que tenga sentido técnico, revisa el objetivo/tolerancia y ejecuta la prueba de confirmación.</t>
  </si>
  <si>
    <t>Interpretación: los niveles con mayor S/N por factor son una guía orientativa y solo se muestran cuando las 9 S/N son válidas. La combinación puede no coincidir con una corrida observada; confírmala antes de estandarizar. Si dos corridas o niveles empatan, no asumas que la primera es superior: revisa el criterio técnico y la prueba de confirmación.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</si>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</sst>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Nivel &quot;0"/>
  </numFmts>
  <fonts count="11">
    <font>
      <sz val="11"/>
      <name val="Carlito"/>
    </font>
    <font>
      <b/>
      <sz val="18"/>
      <color rgb="FFFFFFFF"/>
      <name val="Carlito"/>
    </font>
    <font>
      <sz val="11"/>
      <color rgb="FF1F2937"/>
      <name val="Carlito"/>
    </font>
    <font>
      <b/>
      <sz val="11"/>
      <color rgb="FFFFFFFF"/>
      <name val="Carlito"/>
    </font>
    <font>
      <b/>
      <sz val="11"/>
      <color rgb="FF1F2937"/>
      <name val="Carlito"/>
    </font>
    <font>
      <b/>
      <sz val="11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7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FFF2CC"/>
      </patternFill>
    </fill>
    <fill>
      <patternFill patternType="solid">
        <fgColor rgb="FF17375E"/>
      </patternFill>
    </fill>
    <fill>
      <patternFill patternType="solid">
        <fgColor rgb="FFDDEBF7"/>
      </patternFill>
    </fill>
    <fill>
      <patternFill patternType="solid">
        <fgColor rgb="FFF3F6F9"/>
      </patternFill>
    </fill>
    <fill>
      <patternFill patternType="solid">
        <fgColor rgb="FFEAF2F8"/>
      </patternFill>
    </fill>
    <fill>
      <patternFill patternType="solid">
        <fgColor rgb="FFEAF2F8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17375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3F6F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AF2F8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7">
    <xf numFmtId="0" fontId="0" fillId="0" borderId="0" xfId="0"/>
    <xf numFmtId="0" fontId="3" fillId="4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4" fillId="7" borderId="1" xfId="0" applyFont="1" applyFill="1" applyBorder="1" applyAlignment="1">
      <alignment vertical="center"/>
    </xf>
    <xf numFmtId="0" fontId="4" fillId="7" borderId="0" xfId="0" applyFont="1" applyFill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vertical="center" wrapText="1"/>
    </xf>
    <xf numFmtId="2" fontId="2" fillId="6" borderId="1" xfId="0" applyNumberFormat="1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2" fontId="2" fillId="6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vertical="center"/>
    </xf>
    <xf numFmtId="0" fontId="4" fillId="7" borderId="1" xfId="0" applyFont="1" applyFill="1" applyBorder="1" applyAlignment="1">
      <alignment vertical="center" wrapText="1"/>
    </xf>
    <xf numFmtId="0" fontId="0" fillId="8" borderId="0" xfId="0" applyFill="1"/>
    <xf numFmtId="0" fontId="4" fillId="8" borderId="0" xfId="0" applyFont="1" applyFill="1"/>
    <xf numFmtId="0" fontId="5" fillId="8" borderId="0" xfId="0" applyFont="1" applyFill="1"/>
    <xf numFmtId="0" fontId="2" fillId="3" borderId="0" xfId="0" applyFont="1" applyFill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2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2" fillId="6" borderId="1" xfId="0" applyFont="1" applyFill="1" applyBorder="1" applyAlignment="1">
      <alignment vertical="center" wrapText="1"/>
    </xf>
    <xf numFmtId="0" fontId="1" fillId="9" borderId="0" xfId="0" applyFont="1" applyFill="1" applyAlignment="1">
      <alignment horizontal="left" vertical="center" wrapText="1"/>
    </xf>
    <xf numFmtId="0" fontId="0" fillId="10" borderId="0" xfId="0" applyFill="1"/>
    <xf numFmtId="0" fontId="0" fillId="10" borderId="0" xfId="0" applyFill="1" applyAlignment="1">
      <alignment wrapText="1"/>
    </xf>
    <xf numFmtId="0" fontId="2" fillId="11" borderId="0" xfId="0" applyFont="1" applyFill="1" applyAlignment="1">
      <alignment vertical="top" wrapText="1"/>
    </xf>
    <xf numFmtId="0" fontId="3" fillId="12" borderId="0" xfId="0" applyFont="1" applyFill="1" applyAlignment="1">
      <alignment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wrapText="1"/>
    </xf>
    <xf numFmtId="0" fontId="0" fillId="10" borderId="1" xfId="0" applyFill="1" applyBorder="1" applyAlignment="1">
      <alignment wrapText="1"/>
    </xf>
    <xf numFmtId="0" fontId="2" fillId="10" borderId="0" xfId="0" applyFont="1" applyFill="1" applyAlignment="1">
      <alignment vertical="top" wrapText="1"/>
    </xf>
    <xf numFmtId="0" fontId="3" fillId="12" borderId="1" xfId="0" applyFont="1" applyFill="1" applyBorder="1" applyAlignment="1">
      <alignment vertical="top" wrapText="1"/>
    </xf>
    <xf numFmtId="0" fontId="2" fillId="10" borderId="1" xfId="0" applyFont="1" applyFill="1" applyBorder="1" applyAlignment="1">
      <alignment vertical="top" wrapText="1"/>
    </xf>
    <xf numFmtId="0" fontId="0" fillId="11" borderId="0" xfId="0" applyFill="1" applyAlignment="1">
      <alignment vertical="top" wrapText="1"/>
    </xf>
    <xf numFmtId="0" fontId="0" fillId="10" borderId="0" xfId="0" applyFill="1" applyAlignment="1">
      <alignment vertical="top" wrapText="1"/>
    </xf>
    <xf numFmtId="0" fontId="0" fillId="13" borderId="1" xfId="0" applyFill="1" applyBorder="1" applyAlignment="1">
      <alignment wrapText="1"/>
    </xf>
    <xf numFmtId="0" fontId="0" fillId="14" borderId="1" xfId="0" applyFill="1" applyBorder="1" applyAlignment="1">
      <alignment wrapText="1"/>
    </xf>
    <xf numFmtId="0" fontId="3" fillId="9" borderId="1" xfId="0" applyFont="1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2" fillId="11" borderId="1" xfId="0" applyFont="1" applyFill="1" applyBorder="1" applyAlignment="1">
      <alignment vertical="top" wrapText="1"/>
    </xf>
    <xf numFmtId="0" fontId="7" fillId="15" borderId="2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4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10" fillId="10" borderId="8" xfId="1" applyFont="1" applyFill="1" applyBorder="1" applyAlignment="1">
      <alignment horizontal="center" vertical="center"/>
    </xf>
    <xf numFmtId="0" fontId="10" fillId="10" borderId="9" xfId="1" applyFont="1" applyFill="1" applyBorder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12" borderId="0" xfId="0" applyFont="1" applyFill="1" applyAlignment="1">
      <alignment vertical="center"/>
    </xf>
    <xf numFmtId="0" fontId="4" fillId="16" borderId="1" xfId="0" applyFont="1" applyFill="1" applyBorder="1" applyAlignment="1">
      <alignment vertical="center"/>
    </xf>
    <xf numFmtId="0" fontId="2" fillId="13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top" wrapText="1"/>
    </xf>
    <xf numFmtId="2" fontId="2" fillId="13" borderId="1" xfId="0" applyNumberFormat="1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12">
    <dxf>
      <font>
        <b/>
      </font>
      <fill>
        <patternFill>
          <bgColor rgb="FFFCE4D6"/>
        </patternFill>
      </fill>
    </dxf>
    <dxf>
      <font>
        <b/>
      </font>
      <fill>
        <patternFill>
          <bgColor rgb="FFE2F0D9"/>
        </patternFill>
      </fill>
    </dxf>
    <dxf>
      <font>
        <b/>
        <color rgb="FF1F4E2C"/>
      </font>
      <fill>
        <patternFill>
          <bgColor rgb="FFE2F0D9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2F5597"/>
      </font>
      <fill>
        <patternFill>
          <bgColor rgb="FFE2F0D9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</font>
      <fill>
        <patternFill>
          <bgColor rgb="FFFCE4D6"/>
        </patternFill>
      </fill>
    </dxf>
    <dxf>
      <font>
        <b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Relación S/N por corrida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S/N</c:v>
          </c:tx>
          <c:marker>
            <c:symbol val="none"/>
          </c:marker>
          <c:cat>
            <c:numRef>
              <c:f>Resultados!$A$18:$A$26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cat>
          <c:val>
            <c:numRef>
              <c:f>Resultados!$B$18:$B$26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909-42F7-A5D2-DB256E9899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10</xdr:col>
      <xdr:colOff>164122</xdr:colOff>
      <xdr:row>2</xdr:row>
      <xdr:rowOff>154305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F6CE08-66FB-46A8-8F3F-A08906F87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68450" y="0"/>
          <a:ext cx="2093887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1425232</xdr:colOff>
      <xdr:row>2</xdr:row>
      <xdr:rowOff>154305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9E200F-89A8-4FD4-8394-53032E90E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58400" y="0"/>
          <a:ext cx="2091982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2091982</xdr:colOff>
      <xdr:row>2</xdr:row>
      <xdr:rowOff>154305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0133AB-A6D4-42E1-AF3B-BFB238667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20350" y="0"/>
          <a:ext cx="2091982" cy="6115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14</xdr:row>
      <xdr:rowOff>0</xdr:rowOff>
    </xdr:from>
    <xdr:to>
      <xdr:col>14</xdr:col>
      <xdr:colOff>0</xdr:colOff>
      <xdr:row>27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D10" sqref="D10"/>
    </sheetView>
  </sheetViews>
  <sheetFormatPr baseColWidth="10" defaultColWidth="8.796875" defaultRowHeight="13.8"/>
  <cols>
    <col min="1" max="1" width="13" style="26" customWidth="1"/>
    <col min="2" max="2" width="59.796875" style="26" customWidth="1"/>
    <col min="3" max="3" width="24" style="26" customWidth="1"/>
    <col min="4" max="4" width="38.5" style="26" customWidth="1"/>
    <col min="5" max="8" width="13" style="26" customWidth="1"/>
    <col min="9" max="9" width="3.796875" style="26" customWidth="1"/>
    <col min="10" max="10" width="21.5" style="26" customWidth="1"/>
    <col min="11" max="11" width="24.296875" style="26" customWidth="1"/>
    <col min="12" max="16384" width="8.796875" style="26"/>
  </cols>
  <sheetData>
    <row r="1" spans="1:11" ht="22.8">
      <c r="A1" s="25" t="s">
        <v>0</v>
      </c>
      <c r="B1" s="25"/>
      <c r="C1" s="25"/>
      <c r="D1" s="25"/>
      <c r="E1" s="25"/>
      <c r="F1" s="25"/>
      <c r="G1" s="25"/>
      <c r="H1" s="25"/>
    </row>
    <row r="2" spans="1:11">
      <c r="A2" s="27"/>
      <c r="B2" s="27"/>
      <c r="C2" s="27"/>
      <c r="D2" s="27"/>
      <c r="E2" s="27"/>
      <c r="F2" s="27"/>
      <c r="G2" s="27"/>
      <c r="H2" s="27"/>
    </row>
    <row r="3" spans="1:11">
      <c r="A3" s="28" t="s">
        <v>1</v>
      </c>
      <c r="B3" s="28"/>
      <c r="C3" s="28"/>
      <c r="D3" s="28"/>
      <c r="E3" s="28"/>
      <c r="F3" s="28"/>
      <c r="G3" s="28"/>
      <c r="H3" s="28"/>
    </row>
    <row r="4" spans="1:11" ht="14.4" thickBot="1">
      <c r="A4" s="27"/>
      <c r="B4" s="27"/>
      <c r="C4" s="27"/>
      <c r="D4" s="27"/>
      <c r="E4" s="27"/>
      <c r="F4" s="27"/>
      <c r="G4" s="27"/>
      <c r="H4" s="27"/>
    </row>
    <row r="5" spans="1:11" ht="26.4" customHeight="1">
      <c r="A5" s="29" t="s">
        <v>2</v>
      </c>
      <c r="B5" s="29"/>
      <c r="C5" s="29"/>
      <c r="D5" s="29"/>
      <c r="E5" s="29"/>
      <c r="F5" s="29"/>
      <c r="G5" s="29"/>
      <c r="H5" s="29"/>
      <c r="J5" s="43" t="s">
        <v>269</v>
      </c>
      <c r="K5" s="44"/>
    </row>
    <row r="6" spans="1:11" ht="26.4" customHeight="1">
      <c r="A6" s="30" t="s">
        <v>3</v>
      </c>
      <c r="B6" s="30" t="s">
        <v>4</v>
      </c>
      <c r="C6" s="30" t="s">
        <v>5</v>
      </c>
      <c r="D6" s="30" t="s">
        <v>6</v>
      </c>
      <c r="E6" s="27"/>
      <c r="F6" s="27"/>
      <c r="G6" s="27"/>
      <c r="H6" s="27"/>
      <c r="J6" s="45"/>
      <c r="K6" s="46"/>
    </row>
    <row r="7" spans="1:11" ht="26.4" customHeight="1" thickBot="1">
      <c r="A7" s="31">
        <v>1</v>
      </c>
      <c r="B7" s="32" t="s">
        <v>7</v>
      </c>
      <c r="C7" s="32" t="s">
        <v>8</v>
      </c>
      <c r="D7" s="32" t="s">
        <v>9</v>
      </c>
      <c r="E7" s="27"/>
      <c r="F7" s="27"/>
      <c r="G7" s="27"/>
      <c r="H7" s="27"/>
      <c r="J7" s="47"/>
      <c r="K7" s="48"/>
    </row>
    <row r="8" spans="1:11" ht="42" thickBot="1">
      <c r="A8" s="31">
        <v>2</v>
      </c>
      <c r="B8" s="32" t="s">
        <v>10</v>
      </c>
      <c r="C8" s="32" t="s">
        <v>11</v>
      </c>
      <c r="D8" s="32" t="s">
        <v>12</v>
      </c>
      <c r="E8" s="27"/>
      <c r="F8" s="27"/>
      <c r="G8" s="27"/>
      <c r="H8" s="27"/>
      <c r="J8" s="49" t="s">
        <v>270</v>
      </c>
      <c r="K8" s="50"/>
    </row>
    <row r="9" spans="1:11" ht="27.6">
      <c r="A9" s="31">
        <v>3</v>
      </c>
      <c r="B9" s="32" t="s">
        <v>13</v>
      </c>
      <c r="C9" s="32" t="s">
        <v>14</v>
      </c>
      <c r="D9" s="32" t="s">
        <v>15</v>
      </c>
      <c r="E9" s="27"/>
      <c r="F9" s="27"/>
      <c r="G9" s="27"/>
      <c r="H9" s="27"/>
    </row>
    <row r="10" spans="1:11" ht="41.4">
      <c r="A10" s="31">
        <v>4</v>
      </c>
      <c r="B10" s="32" t="s">
        <v>16</v>
      </c>
      <c r="C10" s="32" t="s">
        <v>14</v>
      </c>
      <c r="D10" s="32" t="s">
        <v>17</v>
      </c>
      <c r="E10" s="27"/>
      <c r="F10" s="27"/>
      <c r="G10" s="27"/>
      <c r="H10" s="27"/>
    </row>
    <row r="11" spans="1:11" ht="27.6">
      <c r="A11" s="31">
        <v>5</v>
      </c>
      <c r="B11" s="32" t="s">
        <v>18</v>
      </c>
      <c r="C11" s="32" t="s">
        <v>14</v>
      </c>
      <c r="D11" s="32" t="s">
        <v>19</v>
      </c>
      <c r="E11" s="27"/>
      <c r="F11" s="27"/>
      <c r="G11" s="27"/>
      <c r="H11" s="27"/>
    </row>
    <row r="12" spans="1:11" ht="41.4">
      <c r="A12" s="31">
        <v>6</v>
      </c>
      <c r="B12" s="32" t="s">
        <v>20</v>
      </c>
      <c r="C12" s="32" t="s">
        <v>21</v>
      </c>
      <c r="D12" s="32" t="s">
        <v>22</v>
      </c>
      <c r="E12" s="27"/>
      <c r="F12" s="27"/>
      <c r="G12" s="27"/>
      <c r="H12" s="27"/>
    </row>
    <row r="13" spans="1:11" ht="55.2">
      <c r="A13" s="31">
        <v>7</v>
      </c>
      <c r="B13" s="32" t="s">
        <v>23</v>
      </c>
      <c r="C13" s="32" t="s">
        <v>14</v>
      </c>
      <c r="D13" s="32" t="s">
        <v>24</v>
      </c>
      <c r="E13" s="27"/>
      <c r="F13" s="27"/>
      <c r="G13" s="27"/>
      <c r="H13" s="27"/>
    </row>
    <row r="14" spans="1:11">
      <c r="A14" s="27"/>
      <c r="B14" s="27"/>
      <c r="C14" s="27"/>
      <c r="D14" s="27"/>
      <c r="E14" s="27"/>
      <c r="F14" s="27"/>
      <c r="G14" s="27"/>
      <c r="H14" s="27"/>
    </row>
    <row r="15" spans="1:11">
      <c r="A15" s="29" t="s">
        <v>25</v>
      </c>
      <c r="B15" s="29"/>
      <c r="C15" s="29"/>
      <c r="D15" s="29"/>
      <c r="E15" s="29"/>
      <c r="F15" s="29"/>
      <c r="G15" s="29"/>
      <c r="H15" s="29"/>
    </row>
    <row r="16" spans="1:11">
      <c r="A16" s="33" t="s">
        <v>26</v>
      </c>
      <c r="B16" s="33"/>
      <c r="C16" s="33"/>
      <c r="D16" s="33"/>
      <c r="E16" s="33"/>
      <c r="F16" s="33"/>
      <c r="G16" s="33"/>
      <c r="H16" s="33"/>
    </row>
    <row r="17" spans="1:8">
      <c r="A17" s="33"/>
      <c r="B17" s="33"/>
      <c r="C17" s="33"/>
      <c r="D17" s="33"/>
      <c r="E17" s="33"/>
      <c r="F17" s="33"/>
      <c r="G17" s="33"/>
      <c r="H17" s="33"/>
    </row>
    <row r="18" spans="1:8">
      <c r="A18" s="34" t="s">
        <v>27</v>
      </c>
      <c r="B18" s="34"/>
      <c r="C18" s="34"/>
      <c r="D18" s="34"/>
      <c r="E18" s="35"/>
      <c r="F18" s="35"/>
      <c r="G18" s="35"/>
      <c r="H18" s="35"/>
    </row>
    <row r="19" spans="1:8">
      <c r="A19" s="36" t="s">
        <v>28</v>
      </c>
      <c r="B19" s="36"/>
      <c r="C19" s="36"/>
      <c r="D19" s="36"/>
      <c r="E19" s="37"/>
      <c r="F19" s="37"/>
      <c r="G19" s="37"/>
      <c r="H19" s="37"/>
    </row>
    <row r="20" spans="1:8">
      <c r="A20" s="29" t="s">
        <v>29</v>
      </c>
      <c r="B20" s="29"/>
      <c r="C20" s="29"/>
      <c r="D20" s="29"/>
      <c r="E20" s="29"/>
      <c r="F20" s="29"/>
      <c r="G20" s="29"/>
      <c r="H20" s="29"/>
    </row>
    <row r="21" spans="1:8">
      <c r="A21" s="30" t="s">
        <v>30</v>
      </c>
      <c r="B21" s="30" t="s">
        <v>31</v>
      </c>
      <c r="C21" s="30" t="s">
        <v>32</v>
      </c>
      <c r="D21" s="27"/>
      <c r="E21" s="27"/>
      <c r="F21" s="27"/>
      <c r="G21" s="27"/>
      <c r="H21" s="27"/>
    </row>
    <row r="22" spans="1:8">
      <c r="A22" s="38" t="s">
        <v>33</v>
      </c>
      <c r="B22" s="32" t="s">
        <v>34</v>
      </c>
      <c r="C22" s="32" t="s">
        <v>35</v>
      </c>
      <c r="D22" s="27"/>
      <c r="E22" s="27"/>
      <c r="F22" s="27"/>
      <c r="G22" s="27"/>
      <c r="H22" s="27"/>
    </row>
    <row r="23" spans="1:8">
      <c r="A23" s="39" t="s">
        <v>36</v>
      </c>
      <c r="B23" s="32" t="s">
        <v>37</v>
      </c>
      <c r="C23" s="32" t="s">
        <v>38</v>
      </c>
      <c r="D23" s="27"/>
      <c r="E23" s="27"/>
      <c r="F23" s="27"/>
      <c r="G23" s="27"/>
      <c r="H23" s="27"/>
    </row>
    <row r="24" spans="1:8">
      <c r="A24" s="40" t="s">
        <v>39</v>
      </c>
      <c r="B24" s="32" t="s">
        <v>40</v>
      </c>
      <c r="C24" s="32" t="s">
        <v>41</v>
      </c>
      <c r="D24" s="27"/>
      <c r="E24" s="27"/>
      <c r="F24" s="27"/>
      <c r="G24" s="27"/>
      <c r="H24" s="27"/>
    </row>
    <row r="25" spans="1:8">
      <c r="A25" s="41" t="s">
        <v>42</v>
      </c>
      <c r="B25" s="32" t="s">
        <v>43</v>
      </c>
      <c r="C25" s="32" t="s">
        <v>44</v>
      </c>
      <c r="D25" s="27"/>
      <c r="E25" s="27"/>
      <c r="F25" s="27"/>
      <c r="G25" s="27"/>
      <c r="H25" s="27"/>
    </row>
    <row r="26" spans="1:8">
      <c r="A26" s="27"/>
      <c r="B26" s="27"/>
      <c r="C26" s="27"/>
      <c r="D26" s="27"/>
      <c r="E26" s="27"/>
      <c r="F26" s="27"/>
      <c r="G26" s="27"/>
      <c r="H26" s="27"/>
    </row>
    <row r="27" spans="1:8">
      <c r="A27" s="29" t="s">
        <v>45</v>
      </c>
      <c r="B27" s="29"/>
      <c r="C27" s="29"/>
      <c r="D27" s="29"/>
      <c r="E27" s="29"/>
      <c r="F27" s="29"/>
      <c r="G27" s="29"/>
      <c r="H27" s="29"/>
    </row>
    <row r="28" spans="1:8">
      <c r="A28" s="42" t="s">
        <v>46</v>
      </c>
      <c r="B28" s="42"/>
      <c r="C28" s="42"/>
      <c r="D28" s="42"/>
      <c r="E28" s="42"/>
      <c r="F28" s="42"/>
      <c r="G28" s="42"/>
      <c r="H28" s="42"/>
    </row>
    <row r="29" spans="1:8">
      <c r="A29" s="42"/>
      <c r="B29" s="42"/>
      <c r="C29" s="42"/>
      <c r="D29" s="42"/>
      <c r="E29" s="42"/>
      <c r="F29" s="42"/>
      <c r="G29" s="42"/>
      <c r="H29" s="42"/>
    </row>
    <row r="30" spans="1:8">
      <c r="A30" s="42"/>
      <c r="B30" s="42"/>
      <c r="C30" s="42"/>
      <c r="D30" s="42"/>
      <c r="E30" s="42"/>
      <c r="F30" s="42"/>
      <c r="G30" s="42"/>
      <c r="H30" s="42"/>
    </row>
    <row r="31" spans="1:8">
      <c r="A31" s="42"/>
      <c r="B31" s="42"/>
      <c r="C31" s="42"/>
      <c r="D31" s="42"/>
      <c r="E31" s="42"/>
      <c r="F31" s="42"/>
      <c r="G31" s="42"/>
      <c r="H31" s="42"/>
    </row>
  </sheetData>
  <sheetProtection algorithmName="SHA-512" hashValue="6CG2nzk2IVmmzEo4kHBlS/P2U8fjmOe5oNLipvE2TrBw29MJi6DnNhQSyMYKGn5h5hstrEg+25CKHKiSBos1Ig==" saltValue="s82qn+rTYadTox5OsR4wfA==" spinCount="100000" sheet="1" objects="1" scenarios="1" formatCells="0" formatColumns="0" formatRows="0" insertColumns="0" insertRows="0" sort="0" autoFilter="0" pivotTables="0"/>
  <mergeCells count="12">
    <mergeCell ref="J5:K7"/>
    <mergeCell ref="J8:K8"/>
    <mergeCell ref="A27:H27"/>
    <mergeCell ref="A28:H31"/>
    <mergeCell ref="A16:H17"/>
    <mergeCell ref="A18:H18"/>
    <mergeCell ref="A19:H19"/>
    <mergeCell ref="A1:H1"/>
    <mergeCell ref="A3:H3"/>
    <mergeCell ref="A5:H5"/>
    <mergeCell ref="A15:H15"/>
    <mergeCell ref="A20:H20"/>
  </mergeCells>
  <hyperlinks>
    <hyperlink ref="J8" r:id="rId1" xr:uid="{441E2B1A-EBB0-41FE-8794-E3E201C5A90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workbookViewId="0">
      <selection activeCell="F4" sqref="F4:G7"/>
    </sheetView>
  </sheetViews>
  <sheetFormatPr baseColWidth="10" defaultColWidth="8.796875" defaultRowHeight="13.8"/>
  <cols>
    <col min="1" max="1" width="24" style="26" customWidth="1"/>
    <col min="2" max="2" width="47.09765625" style="26" customWidth="1"/>
    <col min="3" max="3" width="40.796875" style="26" customWidth="1"/>
    <col min="4" max="4" width="35.796875" style="26" customWidth="1"/>
    <col min="5" max="5" width="8.796875" style="26"/>
    <col min="6" max="6" width="31.296875" style="26" customWidth="1"/>
    <col min="7" max="7" width="47.3984375" style="26" customWidth="1"/>
    <col min="8" max="16384" width="8.796875" style="26"/>
  </cols>
  <sheetData>
    <row r="1" spans="1:7" ht="22.8">
      <c r="A1" s="51" t="s">
        <v>47</v>
      </c>
      <c r="B1" s="51"/>
      <c r="C1" s="51"/>
      <c r="D1" s="51"/>
    </row>
    <row r="3" spans="1:7" ht="14.4" thickBot="1">
      <c r="A3" s="30" t="s">
        <v>48</v>
      </c>
      <c r="B3" s="30" t="s">
        <v>49</v>
      </c>
      <c r="C3" s="30" t="s">
        <v>50</v>
      </c>
      <c r="D3" s="30" t="s">
        <v>51</v>
      </c>
    </row>
    <row r="4" spans="1:7" ht="41.4">
      <c r="A4" s="32" t="s">
        <v>52</v>
      </c>
      <c r="B4" s="32" t="s">
        <v>53</v>
      </c>
      <c r="C4" s="32" t="s">
        <v>54</v>
      </c>
      <c r="D4" s="32" t="s">
        <v>55</v>
      </c>
      <c r="F4" s="43" t="s">
        <v>269</v>
      </c>
      <c r="G4" s="44"/>
    </row>
    <row r="5" spans="1:7" ht="27.6">
      <c r="A5" s="32" t="s">
        <v>56</v>
      </c>
      <c r="B5" s="32" t="s">
        <v>57</v>
      </c>
      <c r="C5" s="32" t="s">
        <v>58</v>
      </c>
      <c r="D5" s="32" t="s">
        <v>59</v>
      </c>
      <c r="F5" s="45"/>
      <c r="G5" s="46"/>
    </row>
    <row r="6" spans="1:7" ht="14.4" thickBot="1">
      <c r="A6" s="32" t="s">
        <v>60</v>
      </c>
      <c r="B6" s="32" t="s">
        <v>61</v>
      </c>
      <c r="C6" s="32" t="s">
        <v>62</v>
      </c>
      <c r="D6" s="32" t="s">
        <v>63</v>
      </c>
      <c r="F6" s="47"/>
      <c r="G6" s="48"/>
    </row>
    <row r="7" spans="1:7" ht="28.2" thickBot="1">
      <c r="A7" s="32" t="s">
        <v>64</v>
      </c>
      <c r="B7" s="32" t="s">
        <v>65</v>
      </c>
      <c r="C7" s="32" t="s">
        <v>66</v>
      </c>
      <c r="D7" s="32" t="s">
        <v>67</v>
      </c>
      <c r="F7" s="49" t="s">
        <v>270</v>
      </c>
      <c r="G7" s="50"/>
    </row>
    <row r="8" spans="1:7">
      <c r="A8" s="32" t="s">
        <v>68</v>
      </c>
      <c r="B8" s="32" t="s">
        <v>69</v>
      </c>
      <c r="C8" s="32" t="s">
        <v>70</v>
      </c>
      <c r="D8" s="32" t="s">
        <v>71</v>
      </c>
    </row>
    <row r="9" spans="1:7" ht="27.6">
      <c r="A9" s="32" t="s">
        <v>72</v>
      </c>
      <c r="B9" s="32" t="s">
        <v>73</v>
      </c>
      <c r="C9" s="32" t="s">
        <v>74</v>
      </c>
      <c r="D9" s="32" t="s">
        <v>75</v>
      </c>
    </row>
    <row r="10" spans="1:7" ht="27.6">
      <c r="A10" s="32" t="s">
        <v>76</v>
      </c>
      <c r="B10" s="32" t="s">
        <v>77</v>
      </c>
      <c r="C10" s="32" t="s">
        <v>78</v>
      </c>
      <c r="D10" s="32" t="s">
        <v>79</v>
      </c>
    </row>
    <row r="11" spans="1:7" ht="27.6">
      <c r="A11" s="32" t="s">
        <v>80</v>
      </c>
      <c r="B11" s="32" t="s">
        <v>81</v>
      </c>
      <c r="C11" s="32" t="s">
        <v>82</v>
      </c>
      <c r="D11" s="32" t="s">
        <v>83</v>
      </c>
    </row>
    <row r="12" spans="1:7">
      <c r="A12" s="32" t="s">
        <v>84</v>
      </c>
      <c r="B12" s="32" t="s">
        <v>85</v>
      </c>
      <c r="C12" s="32" t="s">
        <v>86</v>
      </c>
      <c r="D12" s="32" t="s">
        <v>87</v>
      </c>
    </row>
    <row r="13" spans="1:7" ht="27.6">
      <c r="A13" s="32" t="s">
        <v>88</v>
      </c>
      <c r="B13" s="32" t="s">
        <v>89</v>
      </c>
      <c r="C13" s="32" t="s">
        <v>90</v>
      </c>
      <c r="D13" s="32" t="s">
        <v>91</v>
      </c>
    </row>
    <row r="14" spans="1:7" ht="27.6">
      <c r="A14" s="32" t="s">
        <v>92</v>
      </c>
      <c r="B14" s="32" t="s">
        <v>93</v>
      </c>
      <c r="C14" s="32" t="s">
        <v>94</v>
      </c>
      <c r="D14" s="32" t="s">
        <v>95</v>
      </c>
    </row>
    <row r="15" spans="1:7">
      <c r="A15" s="32" t="s">
        <v>96</v>
      </c>
      <c r="B15" s="32" t="s">
        <v>97</v>
      </c>
      <c r="C15" s="32" t="s">
        <v>98</v>
      </c>
      <c r="D15" s="32" t="s">
        <v>99</v>
      </c>
    </row>
    <row r="16" spans="1:7" ht="27.6">
      <c r="A16" s="32" t="s">
        <v>100</v>
      </c>
      <c r="B16" s="32" t="s">
        <v>101</v>
      </c>
      <c r="C16" s="32" t="s">
        <v>102</v>
      </c>
      <c r="D16" s="32" t="s">
        <v>103</v>
      </c>
    </row>
    <row r="17" spans="1:4" ht="27.6">
      <c r="A17" s="32" t="s">
        <v>104</v>
      </c>
      <c r="B17" s="32" t="s">
        <v>105</v>
      </c>
      <c r="C17" s="32" t="s">
        <v>106</v>
      </c>
      <c r="D17" s="32" t="s">
        <v>107</v>
      </c>
    </row>
    <row r="18" spans="1:4" ht="27.6">
      <c r="A18" s="32" t="s">
        <v>108</v>
      </c>
      <c r="B18" s="32" t="s">
        <v>109</v>
      </c>
      <c r="C18" s="32" t="s">
        <v>110</v>
      </c>
      <c r="D18" s="32" t="s">
        <v>111</v>
      </c>
    </row>
    <row r="19" spans="1:4" ht="27.6">
      <c r="A19" s="32" t="s">
        <v>112</v>
      </c>
      <c r="B19" s="32" t="s">
        <v>113</v>
      </c>
      <c r="C19" s="32" t="s">
        <v>114</v>
      </c>
      <c r="D19" s="32" t="s">
        <v>115</v>
      </c>
    </row>
    <row r="20" spans="1:4" ht="27.6">
      <c r="A20" s="32" t="s">
        <v>116</v>
      </c>
      <c r="B20" s="32" t="s">
        <v>117</v>
      </c>
      <c r="C20" s="32" t="s">
        <v>118</v>
      </c>
      <c r="D20" s="32" t="s">
        <v>119</v>
      </c>
    </row>
    <row r="21" spans="1:4" ht="27.6">
      <c r="A21" s="32" t="s">
        <v>120</v>
      </c>
      <c r="B21" s="32" t="s">
        <v>121</v>
      </c>
      <c r="C21" s="32" t="s">
        <v>118</v>
      </c>
      <c r="D21" s="32" t="s">
        <v>122</v>
      </c>
    </row>
    <row r="22" spans="1:4" ht="27.6">
      <c r="A22" s="32" t="s">
        <v>123</v>
      </c>
      <c r="B22" s="32" t="s">
        <v>124</v>
      </c>
      <c r="C22" s="32" t="s">
        <v>125</v>
      </c>
      <c r="D22" s="32" t="s">
        <v>126</v>
      </c>
    </row>
    <row r="23" spans="1:4" ht="27.6">
      <c r="A23" s="32" t="s">
        <v>127</v>
      </c>
      <c r="B23" s="32" t="s">
        <v>128</v>
      </c>
      <c r="C23" s="32" t="s">
        <v>129</v>
      </c>
      <c r="D23" s="32" t="s">
        <v>130</v>
      </c>
    </row>
    <row r="24" spans="1:4" ht="27.6">
      <c r="A24" s="32" t="s">
        <v>131</v>
      </c>
      <c r="B24" s="32" t="s">
        <v>132</v>
      </c>
      <c r="C24" s="32" t="s">
        <v>133</v>
      </c>
      <c r="D24" s="32" t="s">
        <v>134</v>
      </c>
    </row>
    <row r="25" spans="1:4" ht="35.25" customHeight="1">
      <c r="A25" s="27" t="s">
        <v>135</v>
      </c>
      <c r="B25" s="27" t="s">
        <v>136</v>
      </c>
      <c r="C25" s="27" t="s">
        <v>137</v>
      </c>
      <c r="D25" s="27" t="s">
        <v>138</v>
      </c>
    </row>
    <row r="26" spans="1:4" ht="35.25" customHeight="1">
      <c r="A26" s="27" t="s">
        <v>139</v>
      </c>
      <c r="B26" s="27" t="s">
        <v>140</v>
      </c>
      <c r="C26" s="27" t="s">
        <v>137</v>
      </c>
      <c r="D26" s="27" t="s">
        <v>141</v>
      </c>
    </row>
    <row r="27" spans="1:4" ht="35.25" customHeight="1">
      <c r="A27" s="27" t="s">
        <v>142</v>
      </c>
      <c r="B27" s="27" t="s">
        <v>143</v>
      </c>
      <c r="C27" s="27" t="s">
        <v>137</v>
      </c>
      <c r="D27" s="27" t="s">
        <v>144</v>
      </c>
    </row>
    <row r="28" spans="1:4" ht="35.25" customHeight="1">
      <c r="A28" s="27" t="s">
        <v>145</v>
      </c>
      <c r="B28" s="27" t="s">
        <v>146</v>
      </c>
      <c r="C28" s="27" t="s">
        <v>147</v>
      </c>
      <c r="D28" s="27" t="s">
        <v>148</v>
      </c>
    </row>
    <row r="29" spans="1:4" ht="35.25" customHeight="1">
      <c r="A29" s="27" t="s">
        <v>149</v>
      </c>
      <c r="B29" s="27" t="s">
        <v>150</v>
      </c>
      <c r="C29" s="27" t="s">
        <v>151</v>
      </c>
      <c r="D29" s="27" t="s">
        <v>152</v>
      </c>
    </row>
    <row r="30" spans="1:4" ht="35.25" customHeight="1">
      <c r="A30" s="27" t="s">
        <v>153</v>
      </c>
      <c r="B30" s="27" t="s">
        <v>154</v>
      </c>
      <c r="C30" s="27" t="s">
        <v>155</v>
      </c>
      <c r="D30" s="27" t="s">
        <v>156</v>
      </c>
    </row>
    <row r="31" spans="1:4" ht="35.25" customHeight="1">
      <c r="A31" s="27" t="s">
        <v>157</v>
      </c>
      <c r="B31" s="27" t="s">
        <v>158</v>
      </c>
      <c r="C31" s="27" t="s">
        <v>159</v>
      </c>
      <c r="D31" s="27" t="s">
        <v>160</v>
      </c>
    </row>
  </sheetData>
  <mergeCells count="3">
    <mergeCell ref="A1:D1"/>
    <mergeCell ref="F4:G6"/>
    <mergeCell ref="F7:G7"/>
  </mergeCells>
  <hyperlinks>
    <hyperlink ref="F7" r:id="rId1" xr:uid="{7F8D47BF-E288-48C8-A7CA-80EA9CB249B8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workbookViewId="0">
      <selection activeCell="D8" sqref="D8"/>
    </sheetView>
  </sheetViews>
  <sheetFormatPr baseColWidth="10" defaultColWidth="8.796875" defaultRowHeight="13.8"/>
  <cols>
    <col min="1" max="1" width="18" style="26" customWidth="1"/>
    <col min="2" max="2" width="45.8984375" style="26" customWidth="1"/>
    <col min="3" max="3" width="28" style="26" customWidth="1"/>
    <col min="4" max="5" width="15" style="26" customWidth="1"/>
    <col min="6" max="6" width="14" style="26" customWidth="1"/>
    <col min="7" max="7" width="8.796875" style="26"/>
    <col min="8" max="8" width="43.296875" style="26" customWidth="1"/>
    <col min="9" max="9" width="44.796875" style="26" customWidth="1"/>
    <col min="10" max="16384" width="8.796875" style="26"/>
  </cols>
  <sheetData>
    <row r="1" spans="1:9" ht="22.8">
      <c r="A1" s="51" t="s">
        <v>161</v>
      </c>
      <c r="B1" s="51"/>
      <c r="C1" s="51"/>
      <c r="D1" s="51"/>
      <c r="E1" s="51"/>
      <c r="F1" s="51"/>
    </row>
    <row r="3" spans="1:9">
      <c r="A3" s="28" t="s">
        <v>162</v>
      </c>
      <c r="B3" s="28"/>
      <c r="C3" s="28"/>
      <c r="D3" s="28"/>
      <c r="E3" s="28"/>
      <c r="F3" s="28"/>
    </row>
    <row r="4" spans="1:9" ht="14.4" thickBot="1"/>
    <row r="5" spans="1:9">
      <c r="A5" s="52" t="s">
        <v>163</v>
      </c>
      <c r="B5" s="52"/>
      <c r="C5" s="52"/>
      <c r="D5" s="52"/>
      <c r="E5" s="52"/>
      <c r="F5" s="52"/>
      <c r="H5" s="43" t="s">
        <v>269</v>
      </c>
      <c r="I5" s="44"/>
    </row>
    <row r="6" spans="1:9">
      <c r="A6" s="30" t="s">
        <v>164</v>
      </c>
      <c r="B6" s="30" t="s">
        <v>165</v>
      </c>
      <c r="C6" s="30" t="s">
        <v>166</v>
      </c>
      <c r="H6" s="45"/>
      <c r="I6" s="46"/>
    </row>
    <row r="7" spans="1:9" ht="31.65" customHeight="1" thickBot="1">
      <c r="A7" s="53" t="s">
        <v>167</v>
      </c>
      <c r="B7" s="54" t="s">
        <v>168</v>
      </c>
      <c r="C7" s="55" t="s">
        <v>169</v>
      </c>
      <c r="H7" s="47"/>
      <c r="I7" s="48"/>
    </row>
    <row r="8" spans="1:9" ht="31.65" customHeight="1" thickBot="1">
      <c r="A8" s="53" t="s">
        <v>170</v>
      </c>
      <c r="B8" s="54" t="s">
        <v>171</v>
      </c>
      <c r="C8" s="55" t="s">
        <v>172</v>
      </c>
      <c r="H8" s="49" t="s">
        <v>270</v>
      </c>
      <c r="I8" s="50"/>
    </row>
    <row r="9" spans="1:9" ht="31.65" customHeight="1">
      <c r="A9" s="53" t="s">
        <v>72</v>
      </c>
      <c r="B9" s="54" t="s">
        <v>173</v>
      </c>
      <c r="C9" s="55" t="s">
        <v>174</v>
      </c>
    </row>
    <row r="10" spans="1:9" ht="31.65" customHeight="1">
      <c r="A10" s="53" t="s">
        <v>175</v>
      </c>
      <c r="B10" s="54" t="s">
        <v>176</v>
      </c>
      <c r="C10" s="55" t="s">
        <v>177</v>
      </c>
    </row>
    <row r="11" spans="1:9" ht="42.15" customHeight="1">
      <c r="A11" s="53" t="s">
        <v>178</v>
      </c>
      <c r="B11" s="54" t="s">
        <v>123</v>
      </c>
      <c r="C11" s="55" t="s">
        <v>179</v>
      </c>
    </row>
    <row r="12" spans="1:9" ht="31.65" customHeight="1">
      <c r="A12" s="53" t="s">
        <v>80</v>
      </c>
      <c r="B12" s="56">
        <v>70</v>
      </c>
      <c r="C12" s="55" t="s">
        <v>180</v>
      </c>
    </row>
    <row r="13" spans="1:9" ht="31.65" customHeight="1">
      <c r="A13" s="53" t="s">
        <v>181</v>
      </c>
      <c r="B13" s="56">
        <v>0.5</v>
      </c>
      <c r="C13" s="55" t="s">
        <v>182</v>
      </c>
    </row>
    <row r="15" spans="1:9">
      <c r="A15" s="52" t="s">
        <v>183</v>
      </c>
      <c r="B15" s="52"/>
      <c r="C15" s="52"/>
      <c r="D15" s="52"/>
      <c r="E15" s="52"/>
      <c r="F15" s="52"/>
    </row>
    <row r="16" spans="1:9">
      <c r="A16" s="30" t="s">
        <v>164</v>
      </c>
      <c r="B16" s="30" t="s">
        <v>165</v>
      </c>
      <c r="C16" s="30" t="s">
        <v>166</v>
      </c>
    </row>
    <row r="17" spans="1:6" ht="52.8" customHeight="1">
      <c r="A17" s="53" t="s">
        <v>64</v>
      </c>
      <c r="B17" s="54" t="s">
        <v>184</v>
      </c>
      <c r="C17" s="55" t="s">
        <v>185</v>
      </c>
    </row>
    <row r="18" spans="1:6" ht="21.15" customHeight="1">
      <c r="A18" s="53" t="s">
        <v>186</v>
      </c>
      <c r="B18" s="54" t="s">
        <v>187</v>
      </c>
      <c r="C18" s="55" t="s">
        <v>188</v>
      </c>
    </row>
    <row r="19" spans="1:6" ht="21.15" customHeight="1">
      <c r="A19" s="53" t="s">
        <v>189</v>
      </c>
      <c r="B19" s="54" t="s">
        <v>190</v>
      </c>
      <c r="C19" s="55" t="s">
        <v>191</v>
      </c>
    </row>
    <row r="21" spans="1:6">
      <c r="A21" s="52" t="s">
        <v>192</v>
      </c>
      <c r="B21" s="52"/>
      <c r="C21" s="52"/>
      <c r="D21" s="52"/>
      <c r="E21" s="52"/>
      <c r="F21" s="52"/>
    </row>
    <row r="22" spans="1:6">
      <c r="A22" s="30" t="s">
        <v>193</v>
      </c>
      <c r="B22" s="30" t="s">
        <v>194</v>
      </c>
      <c r="C22" s="30" t="s">
        <v>195</v>
      </c>
      <c r="D22" s="30" t="s">
        <v>196</v>
      </c>
      <c r="E22" s="30" t="s">
        <v>197</v>
      </c>
      <c r="F22" s="30" t="s">
        <v>76</v>
      </c>
    </row>
    <row r="23" spans="1:6" ht="12" customHeight="1">
      <c r="A23" s="53" t="s">
        <v>198</v>
      </c>
      <c r="B23" s="54" t="s">
        <v>199</v>
      </c>
      <c r="C23" s="54">
        <v>170</v>
      </c>
      <c r="D23" s="54">
        <v>180</v>
      </c>
      <c r="E23" s="54">
        <v>190</v>
      </c>
      <c r="F23" s="54" t="s">
        <v>200</v>
      </c>
    </row>
    <row r="24" spans="1:6" ht="12" customHeight="1">
      <c r="A24" s="53" t="s">
        <v>201</v>
      </c>
      <c r="B24" s="54" t="s">
        <v>202</v>
      </c>
      <c r="C24" s="54">
        <v>12</v>
      </c>
      <c r="D24" s="54">
        <v>14</v>
      </c>
      <c r="E24" s="54">
        <v>16</v>
      </c>
      <c r="F24" s="54" t="s">
        <v>203</v>
      </c>
    </row>
    <row r="25" spans="1:6" ht="12" customHeight="1">
      <c r="A25" s="53" t="s">
        <v>204</v>
      </c>
      <c r="B25" s="54" t="s">
        <v>205</v>
      </c>
      <c r="C25" s="54">
        <v>4</v>
      </c>
      <c r="D25" s="54">
        <v>5</v>
      </c>
      <c r="E25" s="54">
        <v>6</v>
      </c>
      <c r="F25" s="54" t="s">
        <v>206</v>
      </c>
    </row>
    <row r="27" spans="1:6">
      <c r="A27" s="52" t="s">
        <v>207</v>
      </c>
      <c r="B27" s="52"/>
      <c r="C27" s="52"/>
      <c r="D27" s="52"/>
      <c r="E27" s="52"/>
      <c r="F27" s="52"/>
    </row>
    <row r="28" spans="1:6">
      <c r="A28" s="42" t="s">
        <v>208</v>
      </c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</sheetData>
  <sheetProtection algorithmName="SHA-512" hashValue="wvbL/y0qgBRMqIY1kNSyLIMUlXeNaP1aG8bn0VmWZjFu8hA0QsiFve0T8oAAFG62lasS4DlrdnG1YexPjChWTg==" saltValue="/aRpNKMxho5SoUAsekTldQ==" spinCount="100000" sheet="1" objects="1" scenarios="1" formatCells="0" formatColumns="0" formatRows="0" insertColumns="0" sort="0"/>
  <mergeCells count="9">
    <mergeCell ref="A27:F27"/>
    <mergeCell ref="A28:F30"/>
    <mergeCell ref="H5:I7"/>
    <mergeCell ref="H8:I8"/>
    <mergeCell ref="A1:F1"/>
    <mergeCell ref="A3:F3"/>
    <mergeCell ref="A5:F5"/>
    <mergeCell ref="A15:F15"/>
    <mergeCell ref="A21:F21"/>
  </mergeCells>
  <dataValidations count="3">
    <dataValidation type="list" showErrorMessage="1" errorTitle="Criterio no válido" error="Selecciona uno de los tres criterios disponibles." sqref="B11" xr:uid="{00000000-0002-0000-0200-000000000000}">
      <formula1>"Mayor es mejor,Menor es mejor,Nominal es mejor"</formula1>
    </dataValidation>
    <dataValidation type="decimal" allowBlank="1" showErrorMessage="1" errorTitle="Valor no válido" error="Ingresa un valor objetivo numérico." sqref="B12" xr:uid="{00000000-0002-0000-0200-000001000000}">
      <formula1>-1E+150</formula1>
      <formula2>1E+150</formula2>
    </dataValidation>
    <dataValidation type="decimal" allowBlank="1" showErrorMessage="1" errorTitle="Tolerancia no válida" error="Ingresa una tolerancia numérica mayor o igual a 0." sqref="B13" xr:uid="{00000000-0002-0000-0200-000002000000}">
      <formula1>0</formula1>
      <formula2>1E+150</formula2>
    </dataValidation>
  </dataValidations>
  <hyperlinks>
    <hyperlink ref="H8" r:id="rId1" xr:uid="{D8778C4F-E550-4F74-A964-7AD7BCB2CB1E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1"/>
  <sheetViews>
    <sheetView workbookViewId="0">
      <selection sqref="A1:O1"/>
    </sheetView>
  </sheetViews>
  <sheetFormatPr baseColWidth="10" defaultColWidth="8.796875" defaultRowHeight="13.8"/>
  <cols>
    <col min="1" max="2" width="10" customWidth="1"/>
    <col min="3" max="3" width="13" customWidth="1"/>
    <col min="4" max="4" width="10" customWidth="1"/>
    <col min="5" max="5" width="13" customWidth="1"/>
    <col min="6" max="6" width="10" customWidth="1"/>
    <col min="7" max="7" width="13" customWidth="1"/>
    <col min="8" max="13" width="14" customWidth="1"/>
    <col min="14" max="14" width="20" customWidth="1"/>
    <col min="15" max="15" width="28" customWidth="1"/>
  </cols>
  <sheetData>
    <row r="1" spans="1:15" ht="22.8">
      <c r="A1" s="22" t="s">
        <v>209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19" t="s">
        <v>210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>
      <c r="H3" s="5" t="str">
        <f>"C1: "&amp;Diseño!B18</f>
        <v>C1: Baja</v>
      </c>
      <c r="I3" s="5" t="str">
        <f>"C2: "&amp;Diseño!B19</f>
        <v>C2: Alta</v>
      </c>
    </row>
    <row r="4" spans="1:15">
      <c r="A4" s="23" t="s">
        <v>211</v>
      </c>
      <c r="B4" s="23"/>
      <c r="C4" s="23"/>
      <c r="D4" s="23"/>
      <c r="E4" s="23"/>
      <c r="F4" s="23"/>
      <c r="G4" s="23"/>
      <c r="H4" s="23" t="s">
        <v>212</v>
      </c>
      <c r="I4" s="23"/>
      <c r="J4" s="23" t="s">
        <v>213</v>
      </c>
      <c r="K4" s="23"/>
      <c r="L4" s="23"/>
      <c r="M4" s="23"/>
      <c r="N4" s="23"/>
      <c r="O4" s="1" t="s">
        <v>214</v>
      </c>
    </row>
    <row r="5" spans="1:15">
      <c r="A5" s="2" t="s">
        <v>88</v>
      </c>
      <c r="B5" s="2" t="s">
        <v>215</v>
      </c>
      <c r="C5" s="2" t="s">
        <v>216</v>
      </c>
      <c r="D5" s="2" t="s">
        <v>217</v>
      </c>
      <c r="E5" s="2" t="s">
        <v>218</v>
      </c>
      <c r="F5" s="2" t="s">
        <v>219</v>
      </c>
      <c r="G5" s="2" t="s">
        <v>220</v>
      </c>
      <c r="H5" s="2" t="s">
        <v>221</v>
      </c>
      <c r="I5" s="2" t="s">
        <v>222</v>
      </c>
      <c r="J5" s="2" t="s">
        <v>100</v>
      </c>
      <c r="K5" s="2" t="s">
        <v>223</v>
      </c>
      <c r="L5" s="2" t="s">
        <v>224</v>
      </c>
      <c r="M5" s="2" t="s">
        <v>225</v>
      </c>
      <c r="N5" s="2" t="s">
        <v>127</v>
      </c>
      <c r="O5" s="2" t="s">
        <v>226</v>
      </c>
    </row>
    <row r="6" spans="1:15">
      <c r="A6" s="8">
        <v>1</v>
      </c>
      <c r="B6" s="8">
        <v>1</v>
      </c>
      <c r="C6" s="6">
        <f>CHOOSE(B6,Diseño!$C$23,Diseño!$D$23,Diseño!$E$23)</f>
        <v>170</v>
      </c>
      <c r="D6" s="8">
        <v>1</v>
      </c>
      <c r="E6" s="6">
        <f>CHOOSE(D6,Diseño!$C$24,Diseño!$D$24,Diseño!$E$24)</f>
        <v>12</v>
      </c>
      <c r="F6" s="8">
        <v>1</v>
      </c>
      <c r="G6" s="6">
        <f>CHOOSE(F6,Diseño!$C$25,Diseño!$D$25,Diseño!$E$25)</f>
        <v>4</v>
      </c>
      <c r="H6" s="9">
        <v>66.8</v>
      </c>
      <c r="I6" s="9">
        <v>64.900000000000006</v>
      </c>
      <c r="J6" s="10">
        <f t="shared" ref="J6:J14" si="0">IF(COUNT(H6:I6)&lt;2,"",AVERAGE(H6:I6))</f>
        <v>65.849999999999994</v>
      </c>
      <c r="K6" s="10">
        <f t="shared" ref="K6:K14" si="1">IF(COUNT(H6:I6)&lt;2,"",MAX(H6:I6)-MIN(H6:I6))</f>
        <v>1.8999999999999915</v>
      </c>
      <c r="L6" s="10">
        <f>IF(COUNT(H6:I6)&lt;2,"",IF(AND(Diseño!$B$11="Nominal es mejor",ISNUMBER(Diseño!$B$12)),ABS(J6-Diseño!$B$12),""))</f>
        <v>4.1500000000000057</v>
      </c>
      <c r="M6" s="10" t="str">
        <f ca="1">IF(COUNT(H6:I6)&lt;2,"",IFERROR(IF(Diseño!$B$11="Mayor es mejor",IF(MIN(H6:I6)&lt;=0,"",-10*LOG10((1/H6^2+1/I6^2)/2)),IF(Diseño!$B$11="Menor es mejor",IF(H6^2+I6^2=0,"",-10*LOG10((H6^2+I6^2)/2)),IF(Diseño!$B$11="Nominal es mejor",IF(OR(_xludf.VAR.S(H6:I6)=0,AVERAGE(H6:I6)=0),"",10*LOG10(AVERAGE(H6:I6)^2/_xludf.VAR.S(H6:I6))),""))),""))</f>
        <v/>
      </c>
      <c r="N6" s="6" t="str">
        <f ca="1">IF(COUNT(H6:I6)&lt;2,"FALTA INFORMACIÓN",IF(NOT(OR(Diseño!$B$11="Mayor es mejor",Diseño!$B$11="Menor es mejor",Diseño!$B$11="Nominal es mejor")),"REVISAR DISEÑO",IF(AND(Diseño!$B$11="Nominal es mejor",OR(NOT(ISNUMBER(Diseño!$B$12)),NOT(ISNUMBER(Diseño!$B$13)),Diseño!$B$13&lt;0)),"REVISAR DISEÑO",IF(M6="","REVISAR S/N",IF(Diseño!$B$11="Nominal es mejor",IF(L6&lt;=Diseño!$B$13,"Dentro de tolerancia","Fuera de tolerancia"),"S/N válida")))))</f>
        <v>REVISAR S/N</v>
      </c>
      <c r="O6" s="7"/>
    </row>
    <row r="7" spans="1:15">
      <c r="A7" s="8">
        <v>2</v>
      </c>
      <c r="B7" s="8">
        <v>1</v>
      </c>
      <c r="C7" s="6">
        <f>CHOOSE(B7,Diseño!$C$23,Diseño!$D$23,Diseño!$E$23)</f>
        <v>170</v>
      </c>
      <c r="D7" s="8">
        <v>2</v>
      </c>
      <c r="E7" s="6">
        <f>CHOOSE(D7,Diseño!$C$24,Diseño!$D$24,Diseño!$E$24)</f>
        <v>14</v>
      </c>
      <c r="F7" s="8">
        <v>2</v>
      </c>
      <c r="G7" s="6">
        <f>CHOOSE(F7,Diseño!$C$25,Diseño!$D$25,Diseño!$E$25)</f>
        <v>5</v>
      </c>
      <c r="H7" s="9">
        <v>68.7</v>
      </c>
      <c r="I7" s="9">
        <v>67.8</v>
      </c>
      <c r="J7" s="10">
        <f t="shared" si="0"/>
        <v>68.25</v>
      </c>
      <c r="K7" s="10">
        <f t="shared" si="1"/>
        <v>0.90000000000000568</v>
      </c>
      <c r="L7" s="10">
        <f>IF(COUNT(H7:I7)&lt;2,"",IF(AND(Diseño!$B$11="Nominal es mejor",ISNUMBER(Diseño!$B$12)),ABS(J7-Diseño!$B$12),""))</f>
        <v>1.75</v>
      </c>
      <c r="M7" s="10" t="str">
        <f ca="1">IF(COUNT(H7:I7)&lt;2,"",IFERROR(IF(Diseño!$B$11="Mayor es mejor",IF(MIN(H7:I7)&lt;=0,"",-10*LOG10((1/H7^2+1/I7^2)/2)),IF(Diseño!$B$11="Menor es mejor",IF(H7^2+I7^2=0,"",-10*LOG10((H7^2+I7^2)/2)),IF(Diseño!$B$11="Nominal es mejor",IF(OR(_xludf.VAR.S(H7:I7)=0,AVERAGE(H7:I7)=0),"",10*LOG10(AVERAGE(H7:I7)^2/_xludf.VAR.S(H7:I7))),""))),""))</f>
        <v/>
      </c>
      <c r="N7" s="6" t="str">
        <f ca="1">IF(COUNT(H7:I7)&lt;2,"FALTA INFORMACIÓN",IF(NOT(OR(Diseño!$B$11="Mayor es mejor",Diseño!$B$11="Menor es mejor",Diseño!$B$11="Nominal es mejor")),"REVISAR DISEÑO",IF(AND(Diseño!$B$11="Nominal es mejor",OR(NOT(ISNUMBER(Diseño!$B$12)),NOT(ISNUMBER(Diseño!$B$13)),Diseño!$B$13&lt;0)),"REVISAR DISEÑO",IF(M7="","REVISAR S/N",IF(Diseño!$B$11="Nominal es mejor",IF(L7&lt;=Diseño!$B$13,"Dentro de tolerancia","Fuera de tolerancia"),"S/N válida")))))</f>
        <v>REVISAR S/N</v>
      </c>
      <c r="O7" s="7"/>
    </row>
    <row r="8" spans="1:15">
      <c r="A8" s="8">
        <v>3</v>
      </c>
      <c r="B8" s="8">
        <v>1</v>
      </c>
      <c r="C8" s="6">
        <f>CHOOSE(B8,Diseño!$C$23,Diseño!$D$23,Diseño!$E$23)</f>
        <v>170</v>
      </c>
      <c r="D8" s="8">
        <v>3</v>
      </c>
      <c r="E8" s="6">
        <f>CHOOSE(D8,Diseño!$C$24,Diseño!$D$24,Diseño!$E$24)</f>
        <v>16</v>
      </c>
      <c r="F8" s="8">
        <v>3</v>
      </c>
      <c r="G8" s="6">
        <f>CHOOSE(F8,Diseño!$C$25,Diseño!$D$25,Diseño!$E$25)</f>
        <v>6</v>
      </c>
      <c r="H8" s="9">
        <v>71.8</v>
      </c>
      <c r="I8" s="9">
        <v>69.5</v>
      </c>
      <c r="J8" s="10">
        <f t="shared" si="0"/>
        <v>70.650000000000006</v>
      </c>
      <c r="K8" s="10">
        <f t="shared" si="1"/>
        <v>2.2999999999999972</v>
      </c>
      <c r="L8" s="10">
        <f>IF(COUNT(H8:I8)&lt;2,"",IF(AND(Diseño!$B$11="Nominal es mejor",ISNUMBER(Diseño!$B$12)),ABS(J8-Diseño!$B$12),""))</f>
        <v>0.65000000000000568</v>
      </c>
      <c r="M8" s="10" t="str">
        <f ca="1">IF(COUNT(H8:I8)&lt;2,"",IFERROR(IF(Diseño!$B$11="Mayor es mejor",IF(MIN(H8:I8)&lt;=0,"",-10*LOG10((1/H8^2+1/I8^2)/2)),IF(Diseño!$B$11="Menor es mejor",IF(H8^2+I8^2=0,"",-10*LOG10((H8^2+I8^2)/2)),IF(Diseño!$B$11="Nominal es mejor",IF(OR(_xludf.VAR.S(H8:I8)=0,AVERAGE(H8:I8)=0),"",10*LOG10(AVERAGE(H8:I8)^2/_xludf.VAR.S(H8:I8))),""))),""))</f>
        <v/>
      </c>
      <c r="N8" s="6" t="str">
        <f ca="1">IF(COUNT(H8:I8)&lt;2,"FALTA INFORMACIÓN",IF(NOT(OR(Diseño!$B$11="Mayor es mejor",Diseño!$B$11="Menor es mejor",Diseño!$B$11="Nominal es mejor")),"REVISAR DISEÑO",IF(AND(Diseño!$B$11="Nominal es mejor",OR(NOT(ISNUMBER(Diseño!$B$12)),NOT(ISNUMBER(Diseño!$B$13)),Diseño!$B$13&lt;0)),"REVISAR DISEÑO",IF(M8="","REVISAR S/N",IF(Diseño!$B$11="Nominal es mejor",IF(L8&lt;=Diseño!$B$13,"Dentro de tolerancia","Fuera de tolerancia"),"S/N válida")))))</f>
        <v>REVISAR S/N</v>
      </c>
      <c r="O8" s="7"/>
    </row>
    <row r="9" spans="1:15">
      <c r="A9" s="8">
        <v>4</v>
      </c>
      <c r="B9" s="8">
        <v>2</v>
      </c>
      <c r="C9" s="6">
        <f>CHOOSE(B9,Diseño!$C$23,Diseño!$D$23,Diseño!$E$23)</f>
        <v>180</v>
      </c>
      <c r="D9" s="8">
        <v>1</v>
      </c>
      <c r="E9" s="6">
        <f>CHOOSE(D9,Diseño!$C$24,Diseño!$D$24,Diseño!$E$24)</f>
        <v>12</v>
      </c>
      <c r="F9" s="8">
        <v>2</v>
      </c>
      <c r="G9" s="6">
        <f>CHOOSE(F9,Diseño!$C$25,Diseño!$D$25,Diseño!$E$25)</f>
        <v>5</v>
      </c>
      <c r="H9" s="9">
        <v>69.099999999999994</v>
      </c>
      <c r="I9" s="9">
        <v>68.8</v>
      </c>
      <c r="J9" s="10">
        <f t="shared" si="0"/>
        <v>68.949999999999989</v>
      </c>
      <c r="K9" s="10">
        <f t="shared" si="1"/>
        <v>0.29999999999999716</v>
      </c>
      <c r="L9" s="10">
        <f>IF(COUNT(H9:I9)&lt;2,"",IF(AND(Diseño!$B$11="Nominal es mejor",ISNUMBER(Diseño!$B$12)),ABS(J9-Diseño!$B$12),""))</f>
        <v>1.0500000000000114</v>
      </c>
      <c r="M9" s="10" t="str">
        <f ca="1">IF(COUNT(H9:I9)&lt;2,"",IFERROR(IF(Diseño!$B$11="Mayor es mejor",IF(MIN(H9:I9)&lt;=0,"",-10*LOG10((1/H9^2+1/I9^2)/2)),IF(Diseño!$B$11="Menor es mejor",IF(H9^2+I9^2=0,"",-10*LOG10((H9^2+I9^2)/2)),IF(Diseño!$B$11="Nominal es mejor",IF(OR(_xludf.VAR.S(H9:I9)=0,AVERAGE(H9:I9)=0),"",10*LOG10(AVERAGE(H9:I9)^2/_xludf.VAR.S(H9:I9))),""))),""))</f>
        <v/>
      </c>
      <c r="N9" s="6" t="str">
        <f ca="1">IF(COUNT(H9:I9)&lt;2,"FALTA INFORMACIÓN",IF(NOT(OR(Diseño!$B$11="Mayor es mejor",Diseño!$B$11="Menor es mejor",Diseño!$B$11="Nominal es mejor")),"REVISAR DISEÑO",IF(AND(Diseño!$B$11="Nominal es mejor",OR(NOT(ISNUMBER(Diseño!$B$12)),NOT(ISNUMBER(Diseño!$B$13)),Diseño!$B$13&lt;0)),"REVISAR DISEÑO",IF(M9="","REVISAR S/N",IF(Diseño!$B$11="Nominal es mejor",IF(L9&lt;=Diseño!$B$13,"Dentro de tolerancia","Fuera de tolerancia"),"S/N válida")))))</f>
        <v>REVISAR S/N</v>
      </c>
      <c r="O9" s="7"/>
    </row>
    <row r="10" spans="1:15">
      <c r="A10" s="8">
        <v>5</v>
      </c>
      <c r="B10" s="8">
        <v>2</v>
      </c>
      <c r="C10" s="6">
        <f>CHOOSE(B10,Diseño!$C$23,Diseño!$D$23,Diseño!$E$23)</f>
        <v>180</v>
      </c>
      <c r="D10" s="8">
        <v>2</v>
      </c>
      <c r="E10" s="6">
        <f>CHOOSE(D10,Diseño!$C$24,Diseño!$D$24,Diseño!$E$24)</f>
        <v>14</v>
      </c>
      <c r="F10" s="8">
        <v>3</v>
      </c>
      <c r="G10" s="6">
        <f>CHOOSE(F10,Diseño!$C$25,Diseño!$D$25,Diseño!$E$25)</f>
        <v>6</v>
      </c>
      <c r="H10" s="9">
        <v>70.2</v>
      </c>
      <c r="I10" s="9">
        <v>69.900000000000006</v>
      </c>
      <c r="J10" s="10">
        <f t="shared" si="0"/>
        <v>70.050000000000011</v>
      </c>
      <c r="K10" s="10">
        <f t="shared" si="1"/>
        <v>0.29999999999999716</v>
      </c>
      <c r="L10" s="10">
        <f>IF(COUNT(H10:I10)&lt;2,"",IF(AND(Diseño!$B$11="Nominal es mejor",ISNUMBER(Diseño!$B$12)),ABS(J10-Diseño!$B$12),""))</f>
        <v>5.0000000000011369E-2</v>
      </c>
      <c r="M10" s="10" t="str">
        <f ca="1">IF(COUNT(H10:I10)&lt;2,"",IFERROR(IF(Diseño!$B$11="Mayor es mejor",IF(MIN(H10:I10)&lt;=0,"",-10*LOG10((1/H10^2+1/I10^2)/2)),IF(Diseño!$B$11="Menor es mejor",IF(H10^2+I10^2=0,"",-10*LOG10((H10^2+I10^2)/2)),IF(Diseño!$B$11="Nominal es mejor",IF(OR(_xludf.VAR.S(H10:I10)=0,AVERAGE(H10:I10)=0),"",10*LOG10(AVERAGE(H10:I10)^2/_xludf.VAR.S(H10:I10))),""))),""))</f>
        <v/>
      </c>
      <c r="N10" s="6" t="str">
        <f ca="1">IF(COUNT(H10:I10)&lt;2,"FALTA INFORMACIÓN",IF(NOT(OR(Diseño!$B$11="Mayor es mejor",Diseño!$B$11="Menor es mejor",Diseño!$B$11="Nominal es mejor")),"REVISAR DISEÑO",IF(AND(Diseño!$B$11="Nominal es mejor",OR(NOT(ISNUMBER(Diseño!$B$12)),NOT(ISNUMBER(Diseño!$B$13)),Diseño!$B$13&lt;0)),"REVISAR DISEÑO",IF(M10="","REVISAR S/N",IF(Diseño!$B$11="Nominal es mejor",IF(L10&lt;=Diseño!$B$13,"Dentro de tolerancia","Fuera de tolerancia"),"S/N válida")))))</f>
        <v>REVISAR S/N</v>
      </c>
      <c r="O10" s="7"/>
    </row>
    <row r="11" spans="1:15">
      <c r="A11" s="8">
        <v>6</v>
      </c>
      <c r="B11" s="8">
        <v>2</v>
      </c>
      <c r="C11" s="6">
        <f>CHOOSE(B11,Diseño!$C$23,Diseño!$D$23,Diseño!$E$23)</f>
        <v>180</v>
      </c>
      <c r="D11" s="8">
        <v>3</v>
      </c>
      <c r="E11" s="6">
        <f>CHOOSE(D11,Diseño!$C$24,Diseño!$D$24,Diseño!$E$24)</f>
        <v>16</v>
      </c>
      <c r="F11" s="8">
        <v>1</v>
      </c>
      <c r="G11" s="6">
        <f>CHOOSE(F11,Diseño!$C$25,Diseño!$D$25,Diseño!$E$25)</f>
        <v>4</v>
      </c>
      <c r="H11" s="9">
        <v>72.400000000000006</v>
      </c>
      <c r="I11" s="9">
        <v>71.099999999999994</v>
      </c>
      <c r="J11" s="10">
        <f t="shared" si="0"/>
        <v>71.75</v>
      </c>
      <c r="K11" s="10">
        <f t="shared" si="1"/>
        <v>1.3000000000000114</v>
      </c>
      <c r="L11" s="10">
        <f>IF(COUNT(H11:I11)&lt;2,"",IF(AND(Diseño!$B$11="Nominal es mejor",ISNUMBER(Diseño!$B$12)),ABS(J11-Diseño!$B$12),""))</f>
        <v>1.75</v>
      </c>
      <c r="M11" s="10" t="str">
        <f ca="1">IF(COUNT(H11:I11)&lt;2,"",IFERROR(IF(Diseño!$B$11="Mayor es mejor",IF(MIN(H11:I11)&lt;=0,"",-10*LOG10((1/H11^2+1/I11^2)/2)),IF(Diseño!$B$11="Menor es mejor",IF(H11^2+I11^2=0,"",-10*LOG10((H11^2+I11^2)/2)),IF(Diseño!$B$11="Nominal es mejor",IF(OR(_xludf.VAR.S(H11:I11)=0,AVERAGE(H11:I11)=0),"",10*LOG10(AVERAGE(H11:I11)^2/_xludf.VAR.S(H11:I11))),""))),""))</f>
        <v/>
      </c>
      <c r="N11" s="6" t="str">
        <f ca="1">IF(COUNT(H11:I11)&lt;2,"FALTA INFORMACIÓN",IF(NOT(OR(Diseño!$B$11="Mayor es mejor",Diseño!$B$11="Menor es mejor",Diseño!$B$11="Nominal es mejor")),"REVISAR DISEÑO",IF(AND(Diseño!$B$11="Nominal es mejor",OR(NOT(ISNUMBER(Diseño!$B$12)),NOT(ISNUMBER(Diseño!$B$13)),Diseño!$B$13&lt;0)),"REVISAR DISEÑO",IF(M11="","REVISAR S/N",IF(Diseño!$B$11="Nominal es mejor",IF(L11&lt;=Diseño!$B$13,"Dentro de tolerancia","Fuera de tolerancia"),"S/N válida")))))</f>
        <v>REVISAR S/N</v>
      </c>
      <c r="O11" s="7"/>
    </row>
    <row r="12" spans="1:15">
      <c r="A12" s="8">
        <v>7</v>
      </c>
      <c r="B12" s="8">
        <v>3</v>
      </c>
      <c r="C12" s="6">
        <f>CHOOSE(B12,Diseño!$C$23,Diseño!$D$23,Diseño!$E$23)</f>
        <v>190</v>
      </c>
      <c r="D12" s="8">
        <v>1</v>
      </c>
      <c r="E12" s="6">
        <f>CHOOSE(D12,Diseño!$C$24,Diseño!$D$24,Diseño!$E$24)</f>
        <v>12</v>
      </c>
      <c r="F12" s="8">
        <v>3</v>
      </c>
      <c r="G12" s="6">
        <f>CHOOSE(F12,Diseño!$C$25,Diseño!$D$25,Diseño!$E$25)</f>
        <v>6</v>
      </c>
      <c r="H12" s="9">
        <v>71.7</v>
      </c>
      <c r="I12" s="9">
        <v>70.5</v>
      </c>
      <c r="J12" s="10">
        <f t="shared" si="0"/>
        <v>71.099999999999994</v>
      </c>
      <c r="K12" s="10">
        <f t="shared" si="1"/>
        <v>1.2000000000000028</v>
      </c>
      <c r="L12" s="10">
        <f>IF(COUNT(H12:I12)&lt;2,"",IF(AND(Diseño!$B$11="Nominal es mejor",ISNUMBER(Diseño!$B$12)),ABS(J12-Diseño!$B$12),""))</f>
        <v>1.0999999999999943</v>
      </c>
      <c r="M12" s="10" t="str">
        <f ca="1">IF(COUNT(H12:I12)&lt;2,"",IFERROR(IF(Diseño!$B$11="Mayor es mejor",IF(MIN(H12:I12)&lt;=0,"",-10*LOG10((1/H12^2+1/I12^2)/2)),IF(Diseño!$B$11="Menor es mejor",IF(H12^2+I12^2=0,"",-10*LOG10((H12^2+I12^2)/2)),IF(Diseño!$B$11="Nominal es mejor",IF(OR(_xludf.VAR.S(H12:I12)=0,AVERAGE(H12:I12)=0),"",10*LOG10(AVERAGE(H12:I12)^2/_xludf.VAR.S(H12:I12))),""))),""))</f>
        <v/>
      </c>
      <c r="N12" s="6" t="str">
        <f ca="1">IF(COUNT(H12:I12)&lt;2,"FALTA INFORMACIÓN",IF(NOT(OR(Diseño!$B$11="Mayor es mejor",Diseño!$B$11="Menor es mejor",Diseño!$B$11="Nominal es mejor")),"REVISAR DISEÑO",IF(AND(Diseño!$B$11="Nominal es mejor",OR(NOT(ISNUMBER(Diseño!$B$12)),NOT(ISNUMBER(Diseño!$B$13)),Diseño!$B$13&lt;0)),"REVISAR DISEÑO",IF(M12="","REVISAR S/N",IF(Diseño!$B$11="Nominal es mejor",IF(L12&lt;=Diseño!$B$13,"Dentro de tolerancia","Fuera de tolerancia"),"S/N válida")))))</f>
        <v>REVISAR S/N</v>
      </c>
      <c r="O12" s="7"/>
    </row>
    <row r="13" spans="1:15">
      <c r="A13" s="8">
        <v>8</v>
      </c>
      <c r="B13" s="8">
        <v>3</v>
      </c>
      <c r="C13" s="6">
        <f>CHOOSE(B13,Diseño!$C$23,Diseño!$D$23,Diseño!$E$23)</f>
        <v>190</v>
      </c>
      <c r="D13" s="8">
        <v>2</v>
      </c>
      <c r="E13" s="6">
        <f>CHOOSE(D13,Diseño!$C$24,Diseño!$D$24,Diseño!$E$24)</f>
        <v>14</v>
      </c>
      <c r="F13" s="8">
        <v>1</v>
      </c>
      <c r="G13" s="6">
        <f>CHOOSE(F13,Diseño!$C$25,Diseño!$D$25,Diseño!$E$25)</f>
        <v>4</v>
      </c>
      <c r="H13" s="9">
        <v>73</v>
      </c>
      <c r="I13" s="9">
        <v>71.400000000000006</v>
      </c>
      <c r="J13" s="10">
        <f t="shared" si="0"/>
        <v>72.2</v>
      </c>
      <c r="K13" s="10">
        <f t="shared" si="1"/>
        <v>1.5999999999999943</v>
      </c>
      <c r="L13" s="10">
        <f>IF(COUNT(H13:I13)&lt;2,"",IF(AND(Diseño!$B$11="Nominal es mejor",ISNUMBER(Diseño!$B$12)),ABS(J13-Diseño!$B$12),""))</f>
        <v>2.2000000000000028</v>
      </c>
      <c r="M13" s="10" t="str">
        <f ca="1">IF(COUNT(H13:I13)&lt;2,"",IFERROR(IF(Diseño!$B$11="Mayor es mejor",IF(MIN(H13:I13)&lt;=0,"",-10*LOG10((1/H13^2+1/I13^2)/2)),IF(Diseño!$B$11="Menor es mejor",IF(H13^2+I13^2=0,"",-10*LOG10((H13^2+I13^2)/2)),IF(Diseño!$B$11="Nominal es mejor",IF(OR(_xludf.VAR.S(H13:I13)=0,AVERAGE(H13:I13)=0),"",10*LOG10(AVERAGE(H13:I13)^2/_xludf.VAR.S(H13:I13))),""))),""))</f>
        <v/>
      </c>
      <c r="N13" s="6" t="str">
        <f ca="1">IF(COUNT(H13:I13)&lt;2,"FALTA INFORMACIÓN",IF(NOT(OR(Diseño!$B$11="Mayor es mejor",Diseño!$B$11="Menor es mejor",Diseño!$B$11="Nominal es mejor")),"REVISAR DISEÑO",IF(AND(Diseño!$B$11="Nominal es mejor",OR(NOT(ISNUMBER(Diseño!$B$12)),NOT(ISNUMBER(Diseño!$B$13)),Diseño!$B$13&lt;0)),"REVISAR DISEÑO",IF(M13="","REVISAR S/N",IF(Diseño!$B$11="Nominal es mejor",IF(L13&lt;=Diseño!$B$13,"Dentro de tolerancia","Fuera de tolerancia"),"S/N válida")))))</f>
        <v>REVISAR S/N</v>
      </c>
      <c r="O13" s="7"/>
    </row>
    <row r="14" spans="1:15">
      <c r="A14" s="8">
        <v>9</v>
      </c>
      <c r="B14" s="8">
        <v>3</v>
      </c>
      <c r="C14" s="6">
        <f>CHOOSE(B14,Diseño!$C$23,Diseño!$D$23,Diseño!$E$23)</f>
        <v>190</v>
      </c>
      <c r="D14" s="8">
        <v>3</v>
      </c>
      <c r="E14" s="6">
        <f>CHOOSE(D14,Diseño!$C$24,Diseño!$D$24,Diseño!$E$24)</f>
        <v>16</v>
      </c>
      <c r="F14" s="8">
        <v>2</v>
      </c>
      <c r="G14" s="6">
        <f>CHOOSE(F14,Diseño!$C$25,Diseño!$D$25,Diseño!$E$25)</f>
        <v>5</v>
      </c>
      <c r="H14" s="9">
        <v>74.099999999999994</v>
      </c>
      <c r="I14" s="9">
        <v>72</v>
      </c>
      <c r="J14" s="10">
        <f t="shared" si="0"/>
        <v>73.05</v>
      </c>
      <c r="K14" s="10">
        <f t="shared" si="1"/>
        <v>2.0999999999999943</v>
      </c>
      <c r="L14" s="10">
        <f>IF(COUNT(H14:I14)&lt;2,"",IF(AND(Diseño!$B$11="Nominal es mejor",ISNUMBER(Diseño!$B$12)),ABS(J14-Diseño!$B$12),""))</f>
        <v>3.0499999999999972</v>
      </c>
      <c r="M14" s="10" t="str">
        <f ca="1">IF(COUNT(H14:I14)&lt;2,"",IFERROR(IF(Diseño!$B$11="Mayor es mejor",IF(MIN(H14:I14)&lt;=0,"",-10*LOG10((1/H14^2+1/I14^2)/2)),IF(Diseño!$B$11="Menor es mejor",IF(H14^2+I14^2=0,"",-10*LOG10((H14^2+I14^2)/2)),IF(Diseño!$B$11="Nominal es mejor",IF(OR(_xludf.VAR.S(H14:I14)=0,AVERAGE(H14:I14)=0),"",10*LOG10(AVERAGE(H14:I14)^2/_xludf.VAR.S(H14:I14))),""))),""))</f>
        <v/>
      </c>
      <c r="N14" s="6" t="str">
        <f ca="1">IF(COUNT(H14:I14)&lt;2,"FALTA INFORMACIÓN",IF(NOT(OR(Diseño!$B$11="Mayor es mejor",Diseño!$B$11="Menor es mejor",Diseño!$B$11="Nominal es mejor")),"REVISAR DISEÑO",IF(AND(Diseño!$B$11="Nominal es mejor",OR(NOT(ISNUMBER(Diseño!$B$12)),NOT(ISNUMBER(Diseño!$B$13)),Diseño!$B$13&lt;0)),"REVISAR DISEÑO",IF(M14="","REVISAR S/N",IF(Diseño!$B$11="Nominal es mejor",IF(L14&lt;=Diseño!$B$13,"Dentro de tolerancia","Fuera de tolerancia"),"S/N válida")))))</f>
        <v>REVISAR S/N</v>
      </c>
      <c r="O14" s="7"/>
    </row>
    <row r="17" spans="1:15">
      <c r="A17" s="23" t="s">
        <v>131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1:15">
      <c r="A18" s="19" t="s">
        <v>227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20" spans="1:15" ht="41.4">
      <c r="A20" s="2" t="s">
        <v>228</v>
      </c>
      <c r="B20" s="2" t="s">
        <v>216</v>
      </c>
      <c r="C20" s="2" t="s">
        <v>218</v>
      </c>
      <c r="D20" s="2" t="s">
        <v>220</v>
      </c>
      <c r="E20" s="2" t="s">
        <v>221</v>
      </c>
      <c r="F20" s="2" t="s">
        <v>222</v>
      </c>
      <c r="G20" s="2" t="s">
        <v>100</v>
      </c>
      <c r="H20" s="2" t="s">
        <v>229</v>
      </c>
      <c r="I20" s="2" t="s">
        <v>224</v>
      </c>
      <c r="J20" s="2" t="s">
        <v>127</v>
      </c>
      <c r="K20" s="2" t="s">
        <v>230</v>
      </c>
      <c r="L20" s="2" t="s">
        <v>226</v>
      </c>
    </row>
    <row r="21" spans="1:15" ht="33.6" customHeight="1">
      <c r="A21" s="7" t="s">
        <v>231</v>
      </c>
      <c r="B21" s="6" t="str">
        <f ca="1">IF(A21="","",IF(A21="S/N por nivel",Resultados!$F$31,IF(COUNTIF($A$6:$A$14,A21*1)=0,"REVISAR",INDEX($C$6:$C$14,MATCH(A21*1,$A$6:$A$14,0)))))</f>
        <v/>
      </c>
      <c r="C21" s="6" t="str">
        <f ca="1">IF(A21="","",IF(A21="S/N por nivel",Resultados!$F$32,IF(COUNTIF($A$6:$A$14,A21*1)=0,"REVISAR",INDEX($E$6:$E$14,MATCH(A21*1,$A$6:$A$14,0)))))</f>
        <v/>
      </c>
      <c r="D21" s="6" t="str">
        <f ca="1">IF(A21="","",IF(A21="S/N por nivel",Resultados!$F$33,IF(COUNTIF($A$6:$A$14,A21*1)=0,"REVISAR",INDEX($G$6:$G$14,MATCH(A21*1,$A$6:$A$14,0)))))</f>
        <v/>
      </c>
      <c r="E21" s="9">
        <v>70.099999999999994</v>
      </c>
      <c r="F21" s="9">
        <v>69.8</v>
      </c>
      <c r="G21" s="10">
        <f>IF(COUNT(E21:F21)&lt;2,"",AVERAGE(E21:F21))</f>
        <v>69.949999999999989</v>
      </c>
      <c r="H21" s="10">
        <f>IF(COUNT(E21:F21)&lt;2,"",MAX(E21:F21)-MIN(E21:F21))</f>
        <v>0.29999999999999716</v>
      </c>
      <c r="I21" s="10">
        <f>IF(COUNT(E21:F21)&lt;2,"",IF(AND(Diseño!$B$11="Nominal es mejor",ISNUMBER(Diseño!$B$12)),ABS(G21-Diseño!$B$12),""))</f>
        <v>5.0000000000011369E-2</v>
      </c>
      <c r="J21" s="6" t="str">
        <f ca="1">IF(Resultados!$B$15&lt;&gt;"OK","REVISAR CONFIGURACIÓN",IF(OR(B21="",C21="",D21="",B21="REVISAR",C21="REVISAR",D21="REVISAR"),"REVISAR CONFIGURACIÓN",IF(COUNT(E21:F21)&lt;2,"FALTA INFORMACIÓN",IF(NOT(OR(Diseño!$B$11="Mayor es mejor",Diseño!$B$11="Menor es mejor",Diseño!$B$11="Nominal es mejor")),"REVISAR DISEÑO",IF(Diseño!$B$11="Nominal es mejor",IF(OR(NOT(ISNUMBER(Diseño!$B$12)),NOT(ISNUMBER(Diseño!$B$13)),Diseño!$B$13&lt;0),"REVISAR DISEÑO",IF(I21&lt;=Diseño!$B$13,"Dentro de tolerancia","Fuera de tolerancia")),"Revisar promedio/rango")))))</f>
        <v>REVISAR CONFIGURACIÓN</v>
      </c>
      <c r="K21" s="7" t="str">
        <f>IF(AND(E21=70.1,F21=69.8),"EJEMPLO - reemplaza datos","Validar antes de estandarizar")</f>
        <v>EJEMPLO - reemplaza datos</v>
      </c>
      <c r="L21" s="7" t="s">
        <v>232</v>
      </c>
    </row>
  </sheetData>
  <mergeCells count="7">
    <mergeCell ref="A17:O17"/>
    <mergeCell ref="A18:O18"/>
    <mergeCell ref="A1:O1"/>
    <mergeCell ref="A2:O2"/>
    <mergeCell ref="A4:G4"/>
    <mergeCell ref="H4:I4"/>
    <mergeCell ref="J4:N4"/>
  </mergeCells>
  <conditionalFormatting sqref="J21">
    <cfRule type="expression" dxfId="11" priority="3">
      <formula>J21="Dentro de tolerancia"</formula>
    </cfRule>
    <cfRule type="expression" dxfId="10" priority="4">
      <formula>J21="Fuera de tolerancia"</formula>
    </cfRule>
    <cfRule type="expression" dxfId="9" priority="6">
      <formula>OR(J21="FALTA INFORMACIÓN",J21="REVISAR DISEÑO",J21="REVISAR CONFIGURACIÓN")</formula>
    </cfRule>
  </conditionalFormatting>
  <conditionalFormatting sqref="N6:N14">
    <cfRule type="expression" dxfId="8" priority="1">
      <formula>N6="Dentro de tolerancia"</formula>
    </cfRule>
    <cfRule type="expression" dxfId="7" priority="2">
      <formula>N6="Fuera de tolerancia"</formula>
    </cfRule>
    <cfRule type="expression" dxfId="6" priority="5">
      <formula>OR(N6="FALTA INFORMACIÓN",N6="REVISAR S/N",N6="REVISAR DISEÑO")</formula>
    </cfRule>
  </conditionalFormatting>
  <dataValidations count="2">
    <dataValidation type="list" showErrorMessage="1" errorTitle="Opción no válida" error="Elige S/N por nivel o una corrida del 1 al 9." sqref="A21" xr:uid="{00000000-0002-0000-0300-000000000000}">
      <formula1>"1,2,3,4,5,6,7,8,9"</formula1>
    </dataValidation>
    <dataValidation type="decimal" allowBlank="1" showErrorMessage="1" errorTitle="Respuesta no válida" error="Ingresa únicamente un valor numérico. Si no tienes la medición, deja la celda vacía." sqref="H6:I14 E21:F21" xr:uid="{00000000-0002-0000-0300-000001000000}">
      <formula1>-1E+150</formula1>
      <formula2>1E+150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"/>
  <sheetViews>
    <sheetView workbookViewId="0">
      <selection sqref="A1:N1"/>
    </sheetView>
  </sheetViews>
  <sheetFormatPr baseColWidth="10" defaultColWidth="8.796875" defaultRowHeight="13.8"/>
  <cols>
    <col min="1" max="1" width="28" customWidth="1"/>
    <col min="2" max="2" width="16" customWidth="1"/>
    <col min="3" max="3" width="36" customWidth="1"/>
    <col min="4" max="4" width="16" customWidth="1"/>
    <col min="5" max="5" width="18" customWidth="1"/>
    <col min="6" max="6" width="22" customWidth="1"/>
    <col min="7" max="7" width="12" customWidth="1"/>
    <col min="8" max="14" width="13" customWidth="1"/>
  </cols>
  <sheetData>
    <row r="1" spans="1:14" ht="22.8">
      <c r="A1" s="22" t="s">
        <v>233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3" spans="1:14">
      <c r="A3" s="19" t="s">
        <v>234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5" spans="1:14">
      <c r="A5" s="23" t="s">
        <v>235</v>
      </c>
      <c r="B5" s="23"/>
      <c r="C5" s="23"/>
      <c r="D5" s="23"/>
      <c r="E5" s="23"/>
      <c r="F5" s="23"/>
    </row>
    <row r="6" spans="1:14">
      <c r="A6" s="2" t="s">
        <v>236</v>
      </c>
      <c r="B6" s="2" t="s">
        <v>237</v>
      </c>
      <c r="C6" s="2" t="s">
        <v>238</v>
      </c>
      <c r="E6" s="23" t="s">
        <v>239</v>
      </c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4" t="s">
        <v>240</v>
      </c>
      <c r="B7" s="11">
        <f>COUNT(Corridas!$J$6:$J$14)</f>
        <v>9</v>
      </c>
      <c r="C7" s="3" t="s">
        <v>241</v>
      </c>
      <c r="E7" s="21" t="s">
        <v>242</v>
      </c>
      <c r="F7" s="21"/>
      <c r="G7" s="21"/>
      <c r="H7" s="21"/>
      <c r="I7" s="21"/>
      <c r="J7" s="21"/>
      <c r="K7" s="21"/>
      <c r="L7" s="21"/>
      <c r="M7" s="21"/>
      <c r="N7" s="21"/>
    </row>
    <row r="8" spans="1:14" ht="27.6">
      <c r="A8" s="4" t="s">
        <v>243</v>
      </c>
      <c r="B8" s="11" t="str">
        <f ca="1">IF(B7&lt;9,"FALTA INFORMACIÓN",IF($B$15&lt;&gt;"OK","REVISAR ESTRUCTURA L9",IF(COUNTIF(Corridas!$N$6:$N$14,"REVISAR DISEÑO")&gt;0,"REVISAR DISEÑO",IF(COUNT(Corridas!$M$6:$M$14)&lt;9,"REVISAR S/N",INDEX(Corridas!$A$6:$A$14,MATCH(MAX(Corridas!$M$6:$M$14),Corridas!$M$6:$M$14,0))&amp;IF(COUNTIF(Corridas!$M$6:$M$14,MAX(Corridas!$M$6:$M$14))&gt;1," (empate)","")))))</f>
        <v>REVISAR S/N</v>
      </c>
      <c r="C8" s="3" t="s">
        <v>244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27.6">
      <c r="A9" s="4" t="s">
        <v>245</v>
      </c>
      <c r="B9" s="12" t="str">
        <f ca="1">IF(B7&lt;9,"FALTA INFORMACIÓN",IF($B$15&lt;&gt;"OK","REVISAR ESTRUCTURA L9",IF(COUNTIF(Corridas!$N$6:$N$14,"REVISAR DISEÑO")&gt;0,"REVISAR DISEÑO",IF(COUNT(Corridas!$M$6:$M$14)&lt;9,"REVISAR S/N",MAX(Corridas!$M$6:$M$14)))))</f>
        <v>REVISAR S/N</v>
      </c>
      <c r="C9" s="3" t="s">
        <v>246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27.6">
      <c r="A10" s="4" t="s">
        <v>247</v>
      </c>
      <c r="B10" s="12" t="str">
        <f>IF(B7&lt;9,"FALTA INFORMACIÓN",IF($B$15&lt;&gt;"OK","REVISAR ESTRUCTURA L9",INDEX(Corridas!$A$6:$A$14,MATCH(MIN(Corridas!$K$6:$K$14),Corridas!$K$6:$K$14,0))&amp;IF(COUNTIF(Corridas!$K$6:$K$14,MIN(Corridas!$K$6:$K$14))&gt;1," (empate)","")))</f>
        <v>4 (empate)</v>
      </c>
      <c r="C10" s="3" t="s">
        <v>248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27.6">
      <c r="A11" s="4" t="s">
        <v>249</v>
      </c>
      <c r="B11" s="12">
        <f>IF(B7&lt;9,"FALTA INFORMACIÓN",IF($B$15&lt;&gt;"OK","REVISAR ESTRUCTURA L9",MIN(Corridas!$K$6:$K$14)))</f>
        <v>0.29999999999999716</v>
      </c>
      <c r="C11" s="3" t="s">
        <v>250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>
      <c r="A12" s="4" t="s">
        <v>251</v>
      </c>
      <c r="B12" s="12" t="str">
        <f>IF(Diseño!$B$11&lt;&gt;"Nominal es mejor","No aplica",IF(B7&lt;9,"FALTA INFORMACIÓN",IF($B$15&lt;&gt;"OK","REVISAR ESTRUCTURA L9",IF(OR(NOT(ISNUMBER(Diseño!$B$12)),NOT(ISNUMBER(Diseño!$B$13)),Diseño!$B$13&lt;0),"REVISAR DISEÑO",INDEX(Corridas!$A$6:$A$14,MATCH(MIN(Corridas!$L$6:$L$14),Corridas!$L$6:$L$14,0))&amp;IF(COUNTIF(Corridas!$L$6:$L$14,MIN(Corridas!$L$6:$L$14))&gt;1," (empate)","")))))</f>
        <v>5</v>
      </c>
      <c r="C12" s="3" t="s">
        <v>252</v>
      </c>
    </row>
    <row r="13" spans="1:14" ht="27.6">
      <c r="A13" s="4" t="s">
        <v>253</v>
      </c>
      <c r="B13" s="11">
        <f>IF(Diseño!$B$11&lt;&gt;"Nominal es mejor","No aplica",IF(B7&lt;9,"FALTA INFORMACIÓN",IF($B$15&lt;&gt;"OK","REVISAR ESTRUCTURA L9",IF(OR(NOT(ISNUMBER(Diseño!$B$12)),NOT(ISNUMBER(Diseño!$B$13)),Diseño!$B$13&lt;0),"REVISAR DISEÑO",MIN(Corridas!$L$6:$L$14)))))</f>
        <v>5.0000000000011369E-2</v>
      </c>
      <c r="C13" s="3" t="s">
        <v>254</v>
      </c>
    </row>
    <row r="14" spans="1:14">
      <c r="A14" s="4" t="s">
        <v>255</v>
      </c>
      <c r="B14" s="11" t="str">
        <f ca="1">IF($B$15&lt;&gt;"OK","REVISAR CONFIGURACIÓN",IF(Corridas!J21="REVISAR DISEÑO","REVISAR DISEÑO",IF(Corridas!K21="EJEMPLO - reemplaza datos","EJEMPLO: reemplaza confirmación",IF(Corridas!J21="","FALTA INFORMACIÓN",Corridas!J21))))</f>
        <v>EJEMPLO: reemplaza confirmación</v>
      </c>
      <c r="C14" s="3" t="s">
        <v>256</v>
      </c>
    </row>
    <row r="15" spans="1:14">
      <c r="A15" s="17" t="s">
        <v>257</v>
      </c>
      <c r="B15" s="18" t="str">
        <f>IF(AND(Corridas!A6=1,Corridas!B6=1,Corridas!D6=1,Corridas!F6=1,Corridas!A7=2,Corridas!B7=1,Corridas!D7=2,Corridas!F7=2,Corridas!A8=3,Corridas!B8=1,Corridas!D8=3,Corridas!F8=3,Corridas!A9=4,Corridas!B9=2,Corridas!D9=1,Corridas!F9=2,Corridas!A10=5,Corridas!B10=2,Corridas!D10=2,Corridas!F10=3,Corridas!A11=6,Corridas!B11=2,Corridas!D11=3,Corridas!F11=1,Corridas!A12=7,Corridas!B12=3,Corridas!D12=1,Corridas!F12=3,Corridas!A13=8,Corridas!B13=3,Corridas!D13=2,Corridas!F13=1,Corridas!A14=9,Corridas!B14=3,Corridas!D14=3,Corridas!F14=2),"OK","REVISAR ESTRUCTURA L9")</f>
        <v>OK</v>
      </c>
      <c r="C15" s="16" t="s">
        <v>258</v>
      </c>
    </row>
    <row r="16" spans="1:14">
      <c r="A16" s="23" t="s">
        <v>259</v>
      </c>
      <c r="B16" s="23"/>
      <c r="C16" s="23"/>
      <c r="D16" s="23"/>
      <c r="E16" s="23"/>
      <c r="F16" s="23"/>
    </row>
    <row r="17" spans="1:14">
      <c r="A17" s="2" t="s">
        <v>88</v>
      </c>
      <c r="B17" s="2" t="s">
        <v>225</v>
      </c>
      <c r="C17" s="2" t="s">
        <v>100</v>
      </c>
      <c r="D17" s="2" t="s">
        <v>223</v>
      </c>
      <c r="E17" s="2" t="s">
        <v>224</v>
      </c>
      <c r="F17" s="2" t="s">
        <v>127</v>
      </c>
    </row>
    <row r="18" spans="1:14">
      <c r="A18" s="11">
        <f>Corridas!A6</f>
        <v>1</v>
      </c>
      <c r="B18" s="12" t="str">
        <f ca="1">IF(Corridas!M6="","",Corridas!M6)</f>
        <v/>
      </c>
      <c r="C18" s="12">
        <f>IF(Corridas!J6="","",Corridas!J6)</f>
        <v>65.849999999999994</v>
      </c>
      <c r="D18" s="12">
        <f>IF(Corridas!K6="","",Corridas!K6)</f>
        <v>1.8999999999999915</v>
      </c>
      <c r="E18" s="12">
        <f>IF(Corridas!L6="","",Corridas!L6)</f>
        <v>4.1500000000000057</v>
      </c>
      <c r="F18" s="11" t="str">
        <f ca="1">Corridas!N6</f>
        <v>REVISAR S/N</v>
      </c>
    </row>
    <row r="19" spans="1:14">
      <c r="A19" s="11">
        <f>Corridas!A7</f>
        <v>2</v>
      </c>
      <c r="B19" s="12" t="str">
        <f ca="1">IF(Corridas!M7="","",Corridas!M7)</f>
        <v/>
      </c>
      <c r="C19" s="12">
        <f>IF(Corridas!J7="","",Corridas!J7)</f>
        <v>68.25</v>
      </c>
      <c r="D19" s="12">
        <f>IF(Corridas!K7="","",Corridas!K7)</f>
        <v>0.90000000000000568</v>
      </c>
      <c r="E19" s="12">
        <f>IF(Corridas!L7="","",Corridas!L7)</f>
        <v>1.75</v>
      </c>
      <c r="F19" s="11" t="str">
        <f ca="1">Corridas!N7</f>
        <v>REVISAR S/N</v>
      </c>
    </row>
    <row r="20" spans="1:14">
      <c r="A20" s="11">
        <f>Corridas!A8</f>
        <v>3</v>
      </c>
      <c r="B20" s="12" t="str">
        <f ca="1">IF(Corridas!M8="","",Corridas!M8)</f>
        <v/>
      </c>
      <c r="C20" s="12">
        <f>IF(Corridas!J8="","",Corridas!J8)</f>
        <v>70.650000000000006</v>
      </c>
      <c r="D20" s="12">
        <f>IF(Corridas!K8="","",Corridas!K8)</f>
        <v>2.2999999999999972</v>
      </c>
      <c r="E20" s="12">
        <f>IF(Corridas!L8="","",Corridas!L8)</f>
        <v>0.65000000000000568</v>
      </c>
      <c r="F20" s="11" t="str">
        <f ca="1">Corridas!N8</f>
        <v>REVISAR S/N</v>
      </c>
    </row>
    <row r="21" spans="1:14">
      <c r="A21" s="11">
        <f>Corridas!A9</f>
        <v>4</v>
      </c>
      <c r="B21" s="12" t="str">
        <f ca="1">IF(Corridas!M9="","",Corridas!M9)</f>
        <v/>
      </c>
      <c r="C21" s="12">
        <f>IF(Corridas!J9="","",Corridas!J9)</f>
        <v>68.949999999999989</v>
      </c>
      <c r="D21" s="12">
        <f>IF(Corridas!K9="","",Corridas!K9)</f>
        <v>0.29999999999999716</v>
      </c>
      <c r="E21" s="12">
        <f>IF(Corridas!L9="","",Corridas!L9)</f>
        <v>1.0500000000000114</v>
      </c>
      <c r="F21" s="11" t="str">
        <f ca="1">Corridas!N9</f>
        <v>REVISAR S/N</v>
      </c>
    </row>
    <row r="22" spans="1:14">
      <c r="A22" s="11">
        <f>Corridas!A10</f>
        <v>5</v>
      </c>
      <c r="B22" s="12" t="str">
        <f ca="1">IF(Corridas!M10="","",Corridas!M10)</f>
        <v/>
      </c>
      <c r="C22" s="12">
        <f>IF(Corridas!J10="","",Corridas!J10)</f>
        <v>70.050000000000011</v>
      </c>
      <c r="D22" s="12">
        <f>IF(Corridas!K10="","",Corridas!K10)</f>
        <v>0.29999999999999716</v>
      </c>
      <c r="E22" s="12">
        <f>IF(Corridas!L10="","",Corridas!L10)</f>
        <v>5.0000000000011369E-2</v>
      </c>
      <c r="F22" s="11" t="str">
        <f ca="1">Corridas!N10</f>
        <v>REVISAR S/N</v>
      </c>
    </row>
    <row r="23" spans="1:14">
      <c r="A23" s="11">
        <f>Corridas!A11</f>
        <v>6</v>
      </c>
      <c r="B23" s="12" t="str">
        <f ca="1">IF(Corridas!M11="","",Corridas!M11)</f>
        <v/>
      </c>
      <c r="C23" s="12">
        <f>IF(Corridas!J11="","",Corridas!J11)</f>
        <v>71.75</v>
      </c>
      <c r="D23" s="12">
        <f>IF(Corridas!K11="","",Corridas!K11)</f>
        <v>1.3000000000000114</v>
      </c>
      <c r="E23" s="12">
        <f>IF(Corridas!L11="","",Corridas!L11)</f>
        <v>1.75</v>
      </c>
      <c r="F23" s="11" t="str">
        <f ca="1">Corridas!N11</f>
        <v>REVISAR S/N</v>
      </c>
    </row>
    <row r="24" spans="1:14">
      <c r="A24" s="11">
        <f>Corridas!A12</f>
        <v>7</v>
      </c>
      <c r="B24" s="12" t="str">
        <f ca="1">IF(Corridas!M12="","",Corridas!M12)</f>
        <v/>
      </c>
      <c r="C24" s="12">
        <f>IF(Corridas!J12="","",Corridas!J12)</f>
        <v>71.099999999999994</v>
      </c>
      <c r="D24" s="12">
        <f>IF(Corridas!K12="","",Corridas!K12)</f>
        <v>1.2000000000000028</v>
      </c>
      <c r="E24" s="12">
        <f>IF(Corridas!L12="","",Corridas!L12)</f>
        <v>1.0999999999999943</v>
      </c>
      <c r="F24" s="11" t="str">
        <f ca="1">Corridas!N12</f>
        <v>REVISAR S/N</v>
      </c>
    </row>
    <row r="25" spans="1:14">
      <c r="A25" s="11">
        <f>Corridas!A13</f>
        <v>8</v>
      </c>
      <c r="B25" s="12" t="str">
        <f ca="1">IF(Corridas!M13="","",Corridas!M13)</f>
        <v/>
      </c>
      <c r="C25" s="12">
        <f>IF(Corridas!J13="","",Corridas!J13)</f>
        <v>72.2</v>
      </c>
      <c r="D25" s="12">
        <f>IF(Corridas!K13="","",Corridas!K13)</f>
        <v>1.5999999999999943</v>
      </c>
      <c r="E25" s="12">
        <f>IF(Corridas!L13="","",Corridas!L13)</f>
        <v>2.2000000000000028</v>
      </c>
      <c r="F25" s="11" t="str">
        <f ca="1">Corridas!N13</f>
        <v>REVISAR S/N</v>
      </c>
    </row>
    <row r="26" spans="1:14">
      <c r="A26" s="11">
        <f>Corridas!A14</f>
        <v>9</v>
      </c>
      <c r="B26" s="12" t="str">
        <f ca="1">IF(Corridas!M14="","",Corridas!M14)</f>
        <v/>
      </c>
      <c r="C26" s="12">
        <f>IF(Corridas!J14="","",Corridas!J14)</f>
        <v>73.05</v>
      </c>
      <c r="D26" s="12">
        <f>IF(Corridas!K14="","",Corridas!K14)</f>
        <v>2.0999999999999943</v>
      </c>
      <c r="E26" s="12">
        <f>IF(Corridas!L14="","",Corridas!L14)</f>
        <v>3.0499999999999972</v>
      </c>
      <c r="F26" s="11" t="str">
        <f ca="1">Corridas!N14</f>
        <v>REVISAR S/N</v>
      </c>
    </row>
    <row r="29" spans="1:14">
      <c r="A29" s="23" t="s">
        <v>260</v>
      </c>
      <c r="B29" s="23"/>
      <c r="C29" s="23"/>
      <c r="D29" s="23"/>
      <c r="E29" s="23"/>
      <c r="F29" s="23"/>
      <c r="G29" s="23"/>
      <c r="I29" s="23" t="s">
        <v>261</v>
      </c>
      <c r="J29" s="23"/>
      <c r="K29" s="23"/>
      <c r="L29" s="23"/>
      <c r="M29" s="23"/>
      <c r="N29" s="23"/>
    </row>
    <row r="30" spans="1:14">
      <c r="A30" s="2" t="s">
        <v>194</v>
      </c>
      <c r="B30" s="13">
        <v>1</v>
      </c>
      <c r="C30" s="13">
        <v>2</v>
      </c>
      <c r="D30" s="13">
        <v>3</v>
      </c>
      <c r="E30" s="2" t="s">
        <v>262</v>
      </c>
      <c r="F30" s="2" t="s">
        <v>263</v>
      </c>
      <c r="G30" s="2" t="s">
        <v>76</v>
      </c>
      <c r="I30" s="15" t="s">
        <v>264</v>
      </c>
      <c r="J30" s="24" t="str">
        <f ca="1">IF(E31="","", "Nivel "&amp;E31&amp;" | "&amp;F31&amp;" "&amp;G31)</f>
        <v/>
      </c>
      <c r="K30" s="24"/>
      <c r="L30" s="24"/>
      <c r="M30" s="24"/>
      <c r="N30" s="24"/>
    </row>
    <row r="31" spans="1:14">
      <c r="A31" s="11" t="str">
        <f>"A - "&amp;Diseño!B23</f>
        <v>A - Temperatura</v>
      </c>
      <c r="B31" s="12" t="str">
        <f ca="1">IF(OR($B$15&lt;&gt;"OK",COUNT(Corridas!$M$6:$M$14)&lt;9,COUNTIF(Corridas!$N$6:$N$14,"REVISAR DISEÑO")&gt;0),"",SUMIF(Corridas!$B$6:$B$14,B$30,Corridas!$M$6:$M$14)/COUNTIF(Corridas!$B$6:$B$14,B$30))</f>
        <v/>
      </c>
      <c r="C31" s="12" t="str">
        <f ca="1">IF(OR($B$15&lt;&gt;"OK",COUNT(Corridas!$M$6:$M$14)&lt;9,COUNTIF(Corridas!$N$6:$N$14,"REVISAR DISEÑO")&gt;0),"",SUMIF(Corridas!$B$6:$B$14,C$30,Corridas!$M$6:$M$14)/COUNTIF(Corridas!$B$6:$B$14,C$30))</f>
        <v/>
      </c>
      <c r="D31" s="12" t="str">
        <f ca="1">IF(OR($B$15&lt;&gt;"OK",COUNT(Corridas!$M$6:$M$14)&lt;9,COUNTIF(Corridas!$N$6:$N$14,"REVISAR DISEÑO")&gt;0),"",SUMIF(Corridas!$B$6:$B$14,D$30,Corridas!$M$6:$M$14)/COUNTIF(Corridas!$B$6:$B$14,D$30))</f>
        <v/>
      </c>
      <c r="E31" s="14" t="str">
        <f ca="1">IF(COUNT(B31:D31)&lt;3,"",MATCH(MAX(B31:D31),B31:D31,0))</f>
        <v/>
      </c>
      <c r="F31" s="11" t="str">
        <f ca="1">IF(E31="","",CHOOSE(E31,Diseño!C23,Diseño!D23,Diseño!E23))</f>
        <v/>
      </c>
      <c r="G31" s="11" t="str">
        <f>Diseño!F23</f>
        <v>°C</v>
      </c>
      <c r="I31" s="15" t="s">
        <v>265</v>
      </c>
      <c r="J31" s="24" t="str">
        <f ca="1">IF(E32="","", "Nivel "&amp;E32&amp;" | "&amp;F32&amp;" "&amp;G32)</f>
        <v/>
      </c>
      <c r="K31" s="24"/>
      <c r="L31" s="24"/>
      <c r="M31" s="24"/>
      <c r="N31" s="24"/>
    </row>
    <row r="32" spans="1:14">
      <c r="A32" s="11" t="str">
        <f>"B - "&amp;Diseño!B24</f>
        <v>B - Tiempo</v>
      </c>
      <c r="B32" s="12" t="str">
        <f ca="1">IF(OR($B$15&lt;&gt;"OK",COUNT(Corridas!$M$6:$M$14)&lt;9,COUNTIF(Corridas!$N$6:$N$14,"REVISAR DISEÑO")&gt;0),"",SUMIF(Corridas!$D$6:$D$14,B$30,Corridas!$M$6:$M$14)/COUNTIF(Corridas!$D$6:$D$14,B$30))</f>
        <v/>
      </c>
      <c r="C32" s="12" t="str">
        <f ca="1">IF(OR($B$15&lt;&gt;"OK",COUNT(Corridas!$M$6:$M$14)&lt;9,COUNTIF(Corridas!$N$6:$N$14,"REVISAR DISEÑO")&gt;0),"",SUMIF(Corridas!$D$6:$D$14,C$30,Corridas!$M$6:$M$14)/COUNTIF(Corridas!$D$6:$D$14,C$30))</f>
        <v/>
      </c>
      <c r="D32" s="12" t="str">
        <f ca="1">IF(OR($B$15&lt;&gt;"OK",COUNT(Corridas!$M$6:$M$14)&lt;9,COUNTIF(Corridas!$N$6:$N$14,"REVISAR DISEÑO")&gt;0),"",SUMIF(Corridas!$D$6:$D$14,D$30,Corridas!$M$6:$M$14)/COUNTIF(Corridas!$D$6:$D$14,D$30))</f>
        <v/>
      </c>
      <c r="E32" s="14" t="str">
        <f ca="1">IF(COUNT(B32:D32)&lt;3,"",MATCH(MAX(B32:D32),B32:D32,0))</f>
        <v/>
      </c>
      <c r="F32" s="11" t="str">
        <f ca="1">IF(E32="","",CHOOSE(E32,Diseño!C24,Diseño!D24,Diseño!E24))</f>
        <v/>
      </c>
      <c r="G32" s="11" t="str">
        <f>Diseño!F24</f>
        <v>min</v>
      </c>
      <c r="I32" s="15" t="s">
        <v>266</v>
      </c>
      <c r="J32" s="24" t="str">
        <f ca="1">IF(E33="","", "Nivel "&amp;E33&amp;" | "&amp;F33&amp;" "&amp;G33)</f>
        <v/>
      </c>
      <c r="K32" s="24"/>
      <c r="L32" s="24"/>
      <c r="M32" s="24"/>
      <c r="N32" s="24"/>
    </row>
    <row r="33" spans="1:14">
      <c r="A33" s="11" t="str">
        <f>"C - "&amp;Diseño!B25</f>
        <v>C - Ingrediente X</v>
      </c>
      <c r="B33" s="12" t="str">
        <f ca="1">IF(OR($B$15&lt;&gt;"OK",COUNT(Corridas!$M$6:$M$14)&lt;9,COUNTIF(Corridas!$N$6:$N$14,"REVISAR DISEÑO")&gt;0),"",SUMIF(Corridas!$F$6:$F$14,B$30,Corridas!$M$6:$M$14)/COUNTIF(Corridas!$F$6:$F$14,B$30))</f>
        <v/>
      </c>
      <c r="C33" s="12" t="str">
        <f ca="1">IF(OR($B$15&lt;&gt;"OK",COUNT(Corridas!$M$6:$M$14)&lt;9,COUNTIF(Corridas!$N$6:$N$14,"REVISAR DISEÑO")&gt;0),"",SUMIF(Corridas!$F$6:$F$14,C$30,Corridas!$M$6:$M$14)/COUNTIF(Corridas!$F$6:$F$14,C$30))</f>
        <v/>
      </c>
      <c r="D33" s="12" t="str">
        <f ca="1">IF(OR($B$15&lt;&gt;"OK",COUNT(Corridas!$M$6:$M$14)&lt;9,COUNTIF(Corridas!$N$6:$N$14,"REVISAR DISEÑO")&gt;0),"",SUMIF(Corridas!$F$6:$F$14,D$30,Corridas!$M$6:$M$14)/COUNTIF(Corridas!$F$6:$F$14,D$30))</f>
        <v/>
      </c>
      <c r="E33" s="14" t="str">
        <f ca="1">IF(COUNT(B33:D33)&lt;3,"",MATCH(MAX(B33:D33),B33:D33,0))</f>
        <v/>
      </c>
      <c r="F33" s="11" t="str">
        <f ca="1">IF(E33="","",CHOOSE(E33,Diseño!C25,Diseño!D25,Diseño!E25))</f>
        <v/>
      </c>
      <c r="G33" s="11" t="str">
        <f>Diseño!F25</f>
        <v>%</v>
      </c>
    </row>
    <row r="34" spans="1:14">
      <c r="I34" s="20" t="s">
        <v>267</v>
      </c>
      <c r="J34" s="20"/>
      <c r="K34" s="20"/>
      <c r="L34" s="20"/>
      <c r="M34" s="20"/>
      <c r="N34" s="20"/>
    </row>
    <row r="35" spans="1:14">
      <c r="A35" s="20" t="s">
        <v>268</v>
      </c>
      <c r="B35" s="20"/>
      <c r="C35" s="20"/>
      <c r="D35" s="20"/>
      <c r="E35" s="20"/>
      <c r="F35" s="20"/>
      <c r="G35" s="20"/>
      <c r="I35" s="20"/>
      <c r="J35" s="20"/>
      <c r="K35" s="20"/>
      <c r="L35" s="20"/>
      <c r="M35" s="20"/>
      <c r="N35" s="20"/>
    </row>
    <row r="36" spans="1:14">
      <c r="A36" s="20"/>
      <c r="B36" s="20"/>
      <c r="C36" s="20"/>
      <c r="D36" s="20"/>
      <c r="E36" s="20"/>
      <c r="F36" s="20"/>
      <c r="G36" s="20"/>
      <c r="I36" s="20"/>
      <c r="J36" s="20"/>
      <c r="K36" s="20"/>
      <c r="L36" s="20"/>
      <c r="M36" s="20"/>
      <c r="N36" s="20"/>
    </row>
    <row r="37" spans="1:14">
      <c r="A37" s="20"/>
      <c r="B37" s="20"/>
      <c r="C37" s="20"/>
      <c r="D37" s="20"/>
      <c r="E37" s="20"/>
      <c r="F37" s="20"/>
      <c r="G37" s="20"/>
    </row>
  </sheetData>
  <mergeCells count="13">
    <mergeCell ref="A16:F16"/>
    <mergeCell ref="A29:G29"/>
    <mergeCell ref="A35:G37"/>
    <mergeCell ref="I29:N29"/>
    <mergeCell ref="J30:N30"/>
    <mergeCell ref="J31:N31"/>
    <mergeCell ref="J32:N32"/>
    <mergeCell ref="I34:N36"/>
    <mergeCell ref="A1:N1"/>
    <mergeCell ref="A3:N3"/>
    <mergeCell ref="A5:F5"/>
    <mergeCell ref="E6:N6"/>
    <mergeCell ref="E7:N11"/>
  </mergeCells>
  <conditionalFormatting sqref="B8:B14">
    <cfRule type="expression" dxfId="5" priority="4">
      <formula>OR(B8="FALTA INFORMACIÓN",B8="REVISAR S/N",B8="REVISAR DISEÑO",B8="REVISAR CONFIGURACIÓN")</formula>
    </cfRule>
  </conditionalFormatting>
  <conditionalFormatting sqref="B8:B15">
    <cfRule type="expression" dxfId="4" priority="6">
      <formula>B8="REVISAR ESTRUCTURA L9"</formula>
    </cfRule>
  </conditionalFormatting>
  <conditionalFormatting sqref="B14">
    <cfRule type="expression" dxfId="3" priority="8">
      <formula>B14="EJEMPLO: reemplaza confirmación"</formula>
    </cfRule>
  </conditionalFormatting>
  <conditionalFormatting sqref="B15">
    <cfRule type="expression" dxfId="2" priority="5">
      <formula>B15="OK"</formula>
    </cfRule>
  </conditionalFormatting>
  <conditionalFormatting sqref="B18:B26">
    <cfRule type="dataBar" priority="1">
      <dataBar>
        <cfvo type="min"/>
        <cfvo type="max"/>
        <color rgb="FF17375E"/>
      </dataBar>
    </cfRule>
    <cfRule type="dataBar" priority="9">
      <dataBar>
        <cfvo type="min"/>
        <cfvo type="max"/>
        <color rgb="FF17375E"/>
      </dataBar>
      <extLst>
        <ext xmlns:x14="http://schemas.microsoft.com/office/spreadsheetml/2009/9/main" uri="{B025F937-C7B1-47D3-B67F-A62EFF666E3E}">
          <x14:id>{5BC1C622-E9B3-D78F-CED2-4B9918EE34D7}</x14:id>
        </ext>
      </extLst>
    </cfRule>
  </conditionalFormatting>
  <conditionalFormatting sqref="F18:F26">
    <cfRule type="expression" dxfId="1" priority="2">
      <formula>F18="Dentro de tolerancia"</formula>
    </cfRule>
    <cfRule type="expression" dxfId="0" priority="3">
      <formula>F18="Fuera de tolerancia"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BC1C622-E9B3-D78F-CED2-4B9918EE34D7}">
            <x14:dataBar>
              <x14:cfvo type="min"/>
              <x14:cfvo type="max"/>
              <x14:negativeFillColor auto="1"/>
              <x14:axisColor auto="1"/>
            </x14:dataBar>
          </x14:cfRule>
          <xm:sqref>B18:B26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Instrucciones</vt:lpstr>
      <vt:lpstr>Glosario</vt:lpstr>
      <vt:lpstr>Diseño</vt:lpstr>
      <vt:lpstr>Corridas</vt:lpstr>
      <vt:lpstr>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2026-09-20T23:32:45Z</dcterms:modified>
</cp:coreProperties>
</file>