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B7C2A11-DCCC-408D-BF30-B6096021A646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1_Instrucciones" sheetId="1" r:id="rId1"/>
    <sheet name="2_Glosario" sheetId="2" r:id="rId2"/>
    <sheet name="3_Datos_base" sheetId="3" r:id="rId3"/>
    <sheet name="4_Costeo" sheetId="4" r:id="rId4"/>
    <sheet name="5_Control" sheetId="5" r:id="rId5"/>
    <sheet name="6_Resume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F8" i="6"/>
  <c r="I10" i="5"/>
  <c r="H10" i="5"/>
  <c r="H9" i="5"/>
  <c r="J9" i="5" s="1"/>
  <c r="K9" i="5" s="1"/>
  <c r="G9" i="5"/>
  <c r="L9" i="4"/>
  <c r="K9" i="4"/>
  <c r="I9" i="4"/>
  <c r="H9" i="4"/>
  <c r="G9" i="4"/>
  <c r="E31" i="6"/>
  <c r="D31" i="6"/>
  <c r="A31" i="6"/>
  <c r="A30" i="6"/>
  <c r="E30" i="6" s="1"/>
  <c r="A29" i="6"/>
  <c r="E29" i="6" s="1"/>
  <c r="D28" i="6"/>
  <c r="A28" i="6"/>
  <c r="E28" i="6" s="1"/>
  <c r="A27" i="6"/>
  <c r="E27" i="6" s="1"/>
  <c r="A21" i="6"/>
  <c r="C21" i="6" s="1"/>
  <c r="A20" i="6"/>
  <c r="A19" i="6"/>
  <c r="A18" i="6"/>
  <c r="A17" i="6"/>
  <c r="B7" i="6"/>
  <c r="P28" i="5"/>
  <c r="M28" i="5"/>
  <c r="L28" i="5"/>
  <c r="K28" i="5"/>
  <c r="J28" i="5"/>
  <c r="I28" i="5"/>
  <c r="H28" i="5"/>
  <c r="G28" i="5"/>
  <c r="P27" i="5"/>
  <c r="M27" i="5"/>
  <c r="L27" i="5"/>
  <c r="K27" i="5"/>
  <c r="J27" i="5"/>
  <c r="I27" i="5"/>
  <c r="H27" i="5"/>
  <c r="G27" i="5"/>
  <c r="P26" i="5"/>
  <c r="M26" i="5"/>
  <c r="L26" i="5"/>
  <c r="K26" i="5"/>
  <c r="J26" i="5"/>
  <c r="I26" i="5"/>
  <c r="H26" i="5"/>
  <c r="G26" i="5"/>
  <c r="P25" i="5"/>
  <c r="M25" i="5"/>
  <c r="L25" i="5"/>
  <c r="K25" i="5"/>
  <c r="J25" i="5"/>
  <c r="I25" i="5"/>
  <c r="H25" i="5"/>
  <c r="G25" i="5"/>
  <c r="P24" i="5"/>
  <c r="M24" i="5"/>
  <c r="L24" i="5"/>
  <c r="K24" i="5"/>
  <c r="J24" i="5"/>
  <c r="I24" i="5"/>
  <c r="H24" i="5"/>
  <c r="G24" i="5"/>
  <c r="P23" i="5"/>
  <c r="M23" i="5"/>
  <c r="L23" i="5"/>
  <c r="K23" i="5"/>
  <c r="J23" i="5"/>
  <c r="I23" i="5"/>
  <c r="H23" i="5"/>
  <c r="G23" i="5"/>
  <c r="P22" i="5"/>
  <c r="M22" i="5"/>
  <c r="L22" i="5"/>
  <c r="K22" i="5"/>
  <c r="J22" i="5"/>
  <c r="I22" i="5"/>
  <c r="H22" i="5"/>
  <c r="G22" i="5"/>
  <c r="P21" i="5"/>
  <c r="M21" i="5"/>
  <c r="L21" i="5"/>
  <c r="K21" i="5"/>
  <c r="J21" i="5"/>
  <c r="I21" i="5"/>
  <c r="H21" i="5"/>
  <c r="G21" i="5"/>
  <c r="P20" i="5"/>
  <c r="M20" i="5"/>
  <c r="L20" i="5"/>
  <c r="K20" i="5"/>
  <c r="J20" i="5"/>
  <c r="I20" i="5"/>
  <c r="H20" i="5"/>
  <c r="G20" i="5"/>
  <c r="P19" i="5"/>
  <c r="M19" i="5"/>
  <c r="L19" i="5"/>
  <c r="K19" i="5"/>
  <c r="J19" i="5"/>
  <c r="I19" i="5"/>
  <c r="H19" i="5"/>
  <c r="G19" i="5"/>
  <c r="P18" i="5"/>
  <c r="M18" i="5"/>
  <c r="L18" i="5"/>
  <c r="K18" i="5"/>
  <c r="J18" i="5"/>
  <c r="I18" i="5"/>
  <c r="H18" i="5"/>
  <c r="G18" i="5"/>
  <c r="P17" i="5"/>
  <c r="M17" i="5"/>
  <c r="L17" i="5"/>
  <c r="K17" i="5"/>
  <c r="J17" i="5"/>
  <c r="I17" i="5"/>
  <c r="H17" i="5"/>
  <c r="G17" i="5"/>
  <c r="P16" i="5"/>
  <c r="M16" i="5"/>
  <c r="L16" i="5"/>
  <c r="K16" i="5"/>
  <c r="J16" i="5"/>
  <c r="I16" i="5"/>
  <c r="H16" i="5"/>
  <c r="G16" i="5"/>
  <c r="P15" i="5"/>
  <c r="M15" i="5"/>
  <c r="L15" i="5"/>
  <c r="K15" i="5"/>
  <c r="J15" i="5"/>
  <c r="I15" i="5"/>
  <c r="H15" i="5"/>
  <c r="G15" i="5"/>
  <c r="P14" i="5"/>
  <c r="M14" i="5"/>
  <c r="L14" i="5"/>
  <c r="K14" i="5"/>
  <c r="J14" i="5"/>
  <c r="I14" i="5"/>
  <c r="H14" i="5"/>
  <c r="G14" i="5"/>
  <c r="J13" i="5"/>
  <c r="K13" i="5" s="1"/>
  <c r="H13" i="5"/>
  <c r="I13" i="5" s="1"/>
  <c r="G13" i="5"/>
  <c r="G12" i="5"/>
  <c r="G11" i="5"/>
  <c r="G10" i="5"/>
  <c r="M28" i="4"/>
  <c r="L28" i="4"/>
  <c r="K28" i="4"/>
  <c r="I28" i="4"/>
  <c r="H28" i="4"/>
  <c r="G28" i="4"/>
  <c r="M27" i="4"/>
  <c r="L27" i="4"/>
  <c r="K27" i="4"/>
  <c r="I27" i="4"/>
  <c r="H27" i="4"/>
  <c r="G27" i="4"/>
  <c r="M26" i="4"/>
  <c r="L26" i="4"/>
  <c r="K26" i="4"/>
  <c r="I26" i="4"/>
  <c r="H26" i="4"/>
  <c r="G26" i="4"/>
  <c r="M25" i="4"/>
  <c r="L25" i="4"/>
  <c r="K25" i="4"/>
  <c r="I25" i="4"/>
  <c r="H25" i="4"/>
  <c r="G25" i="4"/>
  <c r="M24" i="4"/>
  <c r="L24" i="4"/>
  <c r="K24" i="4"/>
  <c r="I24" i="4"/>
  <c r="H24" i="4"/>
  <c r="G24" i="4"/>
  <c r="M23" i="4"/>
  <c r="L23" i="4"/>
  <c r="K23" i="4"/>
  <c r="I23" i="4"/>
  <c r="H23" i="4"/>
  <c r="G23" i="4"/>
  <c r="M22" i="4"/>
  <c r="L22" i="4"/>
  <c r="K22" i="4"/>
  <c r="I22" i="4"/>
  <c r="H22" i="4"/>
  <c r="G22" i="4"/>
  <c r="M21" i="4"/>
  <c r="L21" i="4"/>
  <c r="K21" i="4"/>
  <c r="I21" i="4"/>
  <c r="H21" i="4"/>
  <c r="G21" i="4"/>
  <c r="M20" i="4"/>
  <c r="L20" i="4"/>
  <c r="K20" i="4"/>
  <c r="I20" i="4"/>
  <c r="H20" i="4"/>
  <c r="G20" i="4"/>
  <c r="M19" i="4"/>
  <c r="L19" i="4"/>
  <c r="K19" i="4"/>
  <c r="I19" i="4"/>
  <c r="H19" i="4"/>
  <c r="G19" i="4"/>
  <c r="M18" i="4"/>
  <c r="L18" i="4"/>
  <c r="K18" i="4"/>
  <c r="I18" i="4"/>
  <c r="H18" i="4"/>
  <c r="G18" i="4"/>
  <c r="M17" i="4"/>
  <c r="L17" i="4"/>
  <c r="K17" i="4"/>
  <c r="I17" i="4"/>
  <c r="H17" i="4"/>
  <c r="G17" i="4"/>
  <c r="M16" i="4"/>
  <c r="L16" i="4"/>
  <c r="K16" i="4"/>
  <c r="I16" i="4"/>
  <c r="H16" i="4"/>
  <c r="G16" i="4"/>
  <c r="M15" i="4"/>
  <c r="L15" i="4"/>
  <c r="K15" i="4"/>
  <c r="I15" i="4"/>
  <c r="H15" i="4"/>
  <c r="G15" i="4"/>
  <c r="M14" i="4"/>
  <c r="L14" i="4"/>
  <c r="K14" i="4"/>
  <c r="I14" i="4"/>
  <c r="H14" i="4"/>
  <c r="G14" i="4"/>
  <c r="K13" i="4"/>
  <c r="L13" i="4" s="1"/>
  <c r="M13" i="4" s="1"/>
  <c r="G13" i="4"/>
  <c r="H13" i="4" s="1"/>
  <c r="I13" i="4" s="1"/>
  <c r="K12" i="4"/>
  <c r="G12" i="4"/>
  <c r="H12" i="4" s="1"/>
  <c r="I12" i="4" s="1"/>
  <c r="K11" i="4"/>
  <c r="K10" i="4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G12" i="3"/>
  <c r="H12" i="3" s="1"/>
  <c r="G11" i="3"/>
  <c r="H11" i="3" s="1"/>
  <c r="H10" i="3"/>
  <c r="H12" i="5" s="1"/>
  <c r="G10" i="3"/>
  <c r="H9" i="3"/>
  <c r="G9" i="3"/>
  <c r="B8" i="6" s="1"/>
  <c r="B9" i="6" s="1"/>
  <c r="J12" i="5" l="1"/>
  <c r="K12" i="5" s="1"/>
  <c r="I12" i="5"/>
  <c r="B20" i="6" s="1"/>
  <c r="L12" i="4"/>
  <c r="M12" i="4" s="1"/>
  <c r="H11" i="5"/>
  <c r="G11" i="4"/>
  <c r="H11" i="4" s="1"/>
  <c r="I11" i="4" s="1"/>
  <c r="L11" i="4" s="1"/>
  <c r="M11" i="4" s="1"/>
  <c r="L13" i="5"/>
  <c r="J10" i="5"/>
  <c r="K10" i="5" s="1"/>
  <c r="L10" i="5" s="1"/>
  <c r="D29" i="6"/>
  <c r="B11" i="6"/>
  <c r="D27" i="6"/>
  <c r="I9" i="5"/>
  <c r="B17" i="6" s="1"/>
  <c r="C17" i="6"/>
  <c r="C20" i="6"/>
  <c r="D30" i="6"/>
  <c r="G10" i="4"/>
  <c r="H10" i="4" s="1"/>
  <c r="I10" i="4" s="1"/>
  <c r="L10" i="4" s="1"/>
  <c r="M10" i="4" s="1"/>
  <c r="B18" i="6"/>
  <c r="B21" i="6"/>
  <c r="D18" i="6" l="1"/>
  <c r="M10" i="5"/>
  <c r="D21" i="6"/>
  <c r="M13" i="5"/>
  <c r="B10" i="6"/>
  <c r="F7" i="6" s="1"/>
  <c r="B28" i="6"/>
  <c r="M9" i="4"/>
  <c r="J11" i="5"/>
  <c r="K11" i="5" s="1"/>
  <c r="I11" i="5"/>
  <c r="B19" i="6" s="1"/>
  <c r="C18" i="6"/>
  <c r="B31" i="6"/>
  <c r="L9" i="5"/>
  <c r="L12" i="5"/>
  <c r="M9" i="5" l="1"/>
  <c r="D17" i="6"/>
  <c r="B27" i="6"/>
  <c r="L11" i="5"/>
  <c r="C19" i="6"/>
  <c r="P13" i="5"/>
  <c r="C31" i="6"/>
  <c r="P10" i="5"/>
  <c r="C28" i="6"/>
  <c r="M12" i="5"/>
  <c r="B30" i="6"/>
  <c r="D20" i="6"/>
  <c r="P12" i="5" l="1"/>
  <c r="C30" i="6"/>
  <c r="P9" i="5"/>
  <c r="C27" i="6"/>
  <c r="B29" i="6"/>
  <c r="M11" i="5"/>
  <c r="D19" i="6"/>
  <c r="F9" i="6"/>
  <c r="F10" i="6" s="1"/>
  <c r="C29" i="6" l="1"/>
  <c r="P11" i="5"/>
  <c r="I7" i="6" s="1"/>
</calcChain>
</file>

<file path=xl/sharedStrings.xml><?xml version="1.0" encoding="utf-8"?>
<sst xmlns="http://schemas.openxmlformats.org/spreadsheetml/2006/main" count="313" uniqueCount="240">
  <si>
    <t>Plantilla de costos de mano de obra</t>
  </si>
  <si>
    <t>Instrucciones de uso | Borra los datos de ejemplo desde la hoja 3 y sustitúyelos por los datos de tu negocio. No borres las fórmulas en celdas azules.</t>
  </si>
  <si>
    <t>Objetivo de la plantilla</t>
  </si>
  <si>
    <t>Calcular el costo por hora, estimar la mano de obra por producto/servicio/pedido y controlar diferencias entre lo presupuestado y lo real.</t>
  </si>
  <si>
    <t>Caso de ejemplo incluido</t>
  </si>
  <si>
    <t>Panadería La Esquina. El ejemplo muestra cargos, productos, pedidos y desviaciones coherentes a lo largo de toda la plantilla.</t>
  </si>
  <si>
    <t>Qué debes editar</t>
  </si>
  <si>
    <t>Edita solo las celdas amarillas. Son datos de entrada: cargos, costos mensuales, horas, productos, unidades, tiempos, precios, causas y acciones.</t>
  </si>
  <si>
    <t>Qué no debes editar</t>
  </si>
  <si>
    <t>No borres las celdas azules. Contienen fórmulas automáticas. Si necesitas empezar de cero, borra únicamente los datos de ejemplo en las celdas amarillas.</t>
  </si>
  <si>
    <t>Orden recomendado</t>
  </si>
  <si>
    <t>1) Lee el glosario. 2) Completa Datos base. 3) Calcula Costeo. 4) Registra Control. 5) Revisa Resumen.</t>
  </si>
  <si>
    <t>Frecuencia recomendada</t>
  </si>
  <si>
    <t>Actualiza los datos base cada mes y registra el control semanal o mensual, según el ritmo de tu operación.</t>
  </si>
  <si>
    <t>No crear nuevas hojas</t>
  </si>
  <si>
    <t>Mantén la estructura de hojas. Si necesitas más filas, duplica filas dentro de la misma tabla para conservar fórmulas y formato.</t>
  </si>
  <si>
    <t>Interpretación rápida</t>
  </si>
  <si>
    <t>Si el costo de mano de obra sobre ventas sube o las desviaciones son frecuentes, revisa precios, productividad, turnos, reprocesos o capacidad operativa.</t>
  </si>
  <si>
    <t>Leyenda visual de la plantilla</t>
  </si>
  <si>
    <t>Color</t>
  </si>
  <si>
    <t>Significado</t>
  </si>
  <si>
    <t>Qué hacer</t>
  </si>
  <si>
    <t>Flujo de uso recomendado</t>
  </si>
  <si>
    <t>Amarillo</t>
  </si>
  <si>
    <t>Dato editable</t>
  </si>
  <si>
    <t>Ingresa o reemplaza datos del negocio.</t>
  </si>
  <si>
    <t>Paso</t>
  </si>
  <si>
    <t>Hoja</t>
  </si>
  <si>
    <t>Acción</t>
  </si>
  <si>
    <t>Azul claro</t>
  </si>
  <si>
    <t>Cálculo automático</t>
  </si>
  <si>
    <t>No borres fórmulas. Se actualiza con tus datos.</t>
  </si>
  <si>
    <t>3_Datos_base</t>
  </si>
  <si>
    <t>Registra cargos, áreas, tipo de mano de obra, costo mensual y horas disponibles.</t>
  </si>
  <si>
    <t>Verde claro</t>
  </si>
  <si>
    <t>Resultado o lectura de gestión</t>
  </si>
  <si>
    <t>Úsalo para tomar decisiones.</t>
  </si>
  <si>
    <t>4_Costeo</t>
  </si>
  <si>
    <t>Calcula mano de obra por producto, servicio o pedido con unidades, tiempos y precio.</t>
  </si>
  <si>
    <t>Azul marino</t>
  </si>
  <si>
    <t>Encabezado o sección</t>
  </si>
  <si>
    <t>Sirve para navegar la plantilla.</t>
  </si>
  <si>
    <t>5_Control</t>
  </si>
  <si>
    <t>Compara horas y costos presupuestados contra horas y costos reales.</t>
  </si>
  <si>
    <t>6_Resumen</t>
  </si>
  <si>
    <t>Revisa KPIs, semáforos y principales desviaciones.</t>
  </si>
  <si>
    <t>Glosario de la plantilla</t>
  </si>
  <si>
    <t>Términos usados en costos de mano de obra, planificación, costeo y control operativo.</t>
  </si>
  <si>
    <t>Término</t>
  </si>
  <si>
    <t>Definición simple</t>
  </si>
  <si>
    <t>Dónde se usa</t>
  </si>
  <si>
    <t>Ejemplo práctico</t>
  </si>
  <si>
    <t>Observación</t>
  </si>
  <si>
    <t>Costo de mano de obra</t>
  </si>
  <si>
    <t>Costo asociado al tiempo de trabajo necesario para producir, atender, vender, entregar o prestar un servicio.</t>
  </si>
  <si>
    <t>Costeo y control</t>
  </si>
  <si>
    <t>Tiempo del panadero, técnico, empacador o estilista.</t>
  </si>
  <si>
    <t>No es solo sueldo; puede incluir otros costos laborales.</t>
  </si>
  <si>
    <t>Mano de obra directa</t>
  </si>
  <si>
    <t>Trabajo que se puede asignar claramente a un producto, servicio o pedido.</t>
  </si>
  <si>
    <t>Datos base y costeo</t>
  </si>
  <si>
    <t>Panadero que produce pan; técnico que realiza una instalación.</t>
  </si>
  <si>
    <t>Ayuda a calcular costo por unidad.</t>
  </si>
  <si>
    <t>Mano de obra indirecta</t>
  </si>
  <si>
    <t>Trabajo que apoya la operación, pero no se asigna fácilmente a una unidad específica.</t>
  </si>
  <si>
    <t>Datos base</t>
  </si>
  <si>
    <t>Supervisor, encargado de turnos, apoyo de calidad.</t>
  </si>
  <si>
    <t>Puede tratarse como costo indirecto operativo.</t>
  </si>
  <si>
    <t>Costo mensual total</t>
  </si>
  <si>
    <t>Costo mensual real o estimado de una persona o cargo para la empresa.</t>
  </si>
  <si>
    <t>Salario + beneficios + cargas + bonos.</t>
  </si>
  <si>
    <t>Debe adaptarse a cada país y política interna.</t>
  </si>
  <si>
    <t>Horas contratadas</t>
  </si>
  <si>
    <t>Horas teóricas del mes según jornada o acuerdo laboral.</t>
  </si>
  <si>
    <t>180 horas mensuales.</t>
  </si>
  <si>
    <t>No siempre son horas realmente productivas.</t>
  </si>
  <si>
    <t>Horas no productivas</t>
  </si>
  <si>
    <t>Horas pagadas que no se destinan directamente a producir o atender.</t>
  </si>
  <si>
    <t>Reuniones, capacitación, pausas, traslados internos.</t>
  </si>
  <si>
    <t>Sirven para estimar horas disponibles reales.</t>
  </si>
  <si>
    <t>Horas disponibles</t>
  </si>
  <si>
    <t>Horas realmente utilizables para trabajo operativo.</t>
  </si>
  <si>
    <t>Horas contratadas menos horas no productivas.</t>
  </si>
  <si>
    <t>Base para calcular costo por hora.</t>
  </si>
  <si>
    <t>Costo por hora</t>
  </si>
  <si>
    <t>Costo mensual total dividido entre horas disponibles.</t>
  </si>
  <si>
    <t>Datos base, costeo y control</t>
  </si>
  <si>
    <t>900 / 180 = 5 por hora.</t>
  </si>
  <si>
    <t>Usa el costo real aproximado, no solo salario base.</t>
  </si>
  <si>
    <t>Horas por unidad</t>
  </si>
  <si>
    <t>Tiempo necesario para elaborar, atender o procesar una unidad.</t>
  </si>
  <si>
    <t>Costeo</t>
  </si>
  <si>
    <t>0,15 horas para preparar un pedido ecommerce.</t>
  </si>
  <si>
    <t>Puede medirse por producto, pedido o servicio.</t>
  </si>
  <si>
    <t>Costo por unidad</t>
  </si>
  <si>
    <t>Costo de mano de obra asignado a cada unidad, servicio o pedido.</t>
  </si>
  <si>
    <t>0,15 horas × 5 = 0,75.</t>
  </si>
  <si>
    <t>Ayuda a revisar precio y margen.</t>
  </si>
  <si>
    <t>Costo presupuestado</t>
  </si>
  <si>
    <t>Costo esperado antes de ejecutar el trabajo.</t>
  </si>
  <si>
    <t>40 horas × 5 = 200.</t>
  </si>
  <si>
    <t>Sirve como referencia para comparar.</t>
  </si>
  <si>
    <t>Costo real</t>
  </si>
  <si>
    <t>Costo final después de ejecutar el trabajo.</t>
  </si>
  <si>
    <t>Control</t>
  </si>
  <si>
    <t>48 horas × 5 = 240.</t>
  </si>
  <si>
    <t>Debe registrarse con datos reales.</t>
  </si>
  <si>
    <t>Variación de horas</t>
  </si>
  <si>
    <t>Diferencia entre horas reales y horas presupuestadas.</t>
  </si>
  <si>
    <t>48 - 40 = 8 horas.</t>
  </si>
  <si>
    <t>Si es positiva, se usó más tiempo del previsto.</t>
  </si>
  <si>
    <t>Variación de costo</t>
  </si>
  <si>
    <t>Diferencia entre costo real y costo presupuestado.</t>
  </si>
  <si>
    <t>240 - 200 = 40.</t>
  </si>
  <si>
    <t>Mide impacto económico.</t>
  </si>
  <si>
    <t>% desviación</t>
  </si>
  <si>
    <t>Variación de costo dividida entre costo presupuestado.</t>
  </si>
  <si>
    <t>Control y resumen</t>
  </si>
  <si>
    <t>40 / 200 = 20%.</t>
  </si>
  <si>
    <t>Ayuda a priorizar qué revisar.</t>
  </si>
  <si>
    <t>Mano de obra sobre ventas</t>
  </si>
  <si>
    <t>Proporción de las ventas que se consume en mano de obra.</t>
  </si>
  <si>
    <t>Costeo y resumen</t>
  </si>
  <si>
    <t>Costo de mano de obra / ventas.</t>
  </si>
  <si>
    <t>Útil para revisar margen.</t>
  </si>
  <si>
    <t>Semáforo</t>
  </si>
  <si>
    <t>Lectura simple del resultado: OK, Cuidar, Revisar o Ahorro.</t>
  </si>
  <si>
    <t>Costeo, control y resumen</t>
  </si>
  <si>
    <t>Revisar si la desviación supera el límite definido.</t>
  </si>
  <si>
    <t>No sustituye el análisis de causas.</t>
  </si>
  <si>
    <t>Causa</t>
  </si>
  <si>
    <t>Motivo probable de una desviación.</t>
  </si>
  <si>
    <t>Reproceso, baja productividad, mala estimación, urgencia.</t>
  </si>
  <si>
    <t>Debe escribirse de forma concreta.</t>
  </si>
  <si>
    <t>Acción correctiva</t>
  </si>
  <si>
    <t>Medida que se tomará para mejorar el resultado.</t>
  </si>
  <si>
    <t>Capacitar, ajustar turnos, estandarizar proceso.</t>
  </si>
  <si>
    <t>Debe tener responsable y seguimiento si se gestiona formalmente.</t>
  </si>
  <si>
    <t>3. Datos base del equipo</t>
  </si>
  <si>
    <t>Registra cargos, áreas, tipo de mano de obra, costo mensual y horas disponibles. Borra el ejemplo de Panadería La Esquina y usa tus datos.</t>
  </si>
  <si>
    <t>Uso: completa las celdas amarillas. Las columnas G y H calculan horas disponibles y costo por hora. Mantén una fila por cargo o persona relevante para tu operación.</t>
  </si>
  <si>
    <t>Cargo o persona</t>
  </si>
  <si>
    <t>Área</t>
  </si>
  <si>
    <t>Tipo de mano de obra</t>
  </si>
  <si>
    <t>Horas contratadas/mes</t>
  </si>
  <si>
    <t>Horas no productivas/mes</t>
  </si>
  <si>
    <t>Estado</t>
  </si>
  <si>
    <t>Observaciones</t>
  </si>
  <si>
    <t>Panadero principal</t>
  </si>
  <si>
    <t>Producción</t>
  </si>
  <si>
    <t>Directa</t>
  </si>
  <si>
    <t>Activo</t>
  </si>
  <si>
    <t>Responsable de masas, horneado y recetas principales.</t>
  </si>
  <si>
    <t>Auxiliar panadería</t>
  </si>
  <si>
    <t>Apoya preparación, porcionado y montaje.</t>
  </si>
  <si>
    <t>Empaque y pedidos</t>
  </si>
  <si>
    <t>Logística</t>
  </si>
  <si>
    <t>Prepara pedidos de tienda y ecommerce.</t>
  </si>
  <si>
    <t>Supervisor tienda</t>
  </si>
  <si>
    <t>Operación</t>
  </si>
  <si>
    <t>Indirecta</t>
  </si>
  <si>
    <t>Coordina turnos, calidad y atención general.</t>
  </si>
  <si>
    <t>Limpieza y apoyo</t>
  </si>
  <si>
    <t>Apoya limpieza de cierre y orden operativo.</t>
  </si>
  <si>
    <t>4. Costeo por producto, servicio o pedido</t>
  </si>
  <si>
    <t>Calcula cuánto cuesta la mano de obra por unidad y cuánto pesa sobre las ventas estimadas.</t>
  </si>
  <si>
    <t>Uso: completa producto, área, tipo, cargo principal, unidades, horas por unidad y precio. El costo por hora se toma desde Datos base. Si un producto usa varios cargos, registra una línea por cargo o usa un costo promedio.</t>
  </si>
  <si>
    <t>Producto / servicio / pedido</t>
  </si>
  <si>
    <t>Tipo mano de obra</t>
  </si>
  <si>
    <t>Cargo principal</t>
  </si>
  <si>
    <t>Unidades estimadas</t>
  </si>
  <si>
    <t>Costo MO por unidad</t>
  </si>
  <si>
    <t>Costo total MO</t>
  </si>
  <si>
    <t>Precio venta unitario</t>
  </si>
  <si>
    <t>Ventas estimadas</t>
  </si>
  <si>
    <t>MO sobre ventas</t>
  </si>
  <si>
    <t>Pan artesanal familiar</t>
  </si>
  <si>
    <t>Producto de alta rotación. Revisar tiempos de horneado y empaque.</t>
  </si>
  <si>
    <t>Torta personalizada</t>
  </si>
  <si>
    <t>Producto de mayor precio. Controlar tiempo de decoración.</t>
  </si>
  <si>
    <t>Pedidos ecommerce</t>
  </si>
  <si>
    <t>Usar ticket promedio como precio de referencia para medir peso de empaque.</t>
  </si>
  <si>
    <t>Pack desayuno empresarial</t>
  </si>
  <si>
    <t>Pedido corporativo con preparación y montaje.</t>
  </si>
  <si>
    <t>Limpieza cierre diario</t>
  </si>
  <si>
    <t>Actividad interna. No tiene venta directa, pero debe controlarse.</t>
  </si>
  <si>
    <t>5. Control real vs presupuestado</t>
  </si>
  <si>
    <t>Compara horas y costos esperados contra datos reales. Usa la causa y acción correctiva para convertir el cálculo en mejora operativa.</t>
  </si>
  <si>
    <t>Uso: completa periodo, producto/área, cargo, unidades reales, horas presupuestadas y horas reales. La columna J trae el costo hora presupuestado por defecto; si el costo real cambia, puedes sobrescribir J en esa fila.</t>
  </si>
  <si>
    <t>Periodo</t>
  </si>
  <si>
    <t>Producto / área</t>
  </si>
  <si>
    <t>Cargo</t>
  </si>
  <si>
    <t>Unidades reales</t>
  </si>
  <si>
    <t>Horas presupuestadas</t>
  </si>
  <si>
    <t>Horas reales</t>
  </si>
  <si>
    <t>Variación horas</t>
  </si>
  <si>
    <t>Costo hora presup.</t>
  </si>
  <si>
    <t>Costo hora real</t>
  </si>
  <si>
    <t>Variación costo</t>
  </si>
  <si>
    <t>% desviación costo</t>
  </si>
  <si>
    <t>2026-06</t>
  </si>
  <si>
    <t>Reproceso por mezcla fuera de estándar</t>
  </si>
  <si>
    <t>Estandarizar receta y revisar pesaje antes de hornear</t>
  </si>
  <si>
    <t>Mejor preparación previa</t>
  </si>
  <si>
    <t>Documentar secuencia de decoración que redujo tiempo</t>
  </si>
  <si>
    <t>Búsqueda manual de productos y empaques</t>
  </si>
  <si>
    <t>Crear zona fija de picking y checklist de empaque</t>
  </si>
  <si>
    <t>Pedido repetitivo con mejor curva de aprendizaje</t>
  </si>
  <si>
    <t>Mantener guía de armado por lote</t>
  </si>
  <si>
    <t>Cierre tardío por acumulación de bandejas</t>
  </si>
  <si>
    <t>Repartir limpieza en microtareas durante el turno</t>
  </si>
  <si>
    <t>6. Resumen ejecutivo</t>
  </si>
  <si>
    <t>Vista rápida de costos, horas, ventas estimadas y desviaciones de mano de obra.</t>
  </si>
  <si>
    <t>Indicadores clave de mano de obra</t>
  </si>
  <si>
    <t>Indicador</t>
  </si>
  <si>
    <t>Resultado</t>
  </si>
  <si>
    <t>Lectura rápida</t>
  </si>
  <si>
    <t>Lectura ejecutiva</t>
  </si>
  <si>
    <t>Costo mensual total MO</t>
  </si>
  <si>
    <t>Costo total registrado en Datos base.</t>
  </si>
  <si>
    <t>MO sobre ventas estimadas</t>
  </si>
  <si>
    <t>Peso de mano de obra sobre ventas.</t>
  </si>
  <si>
    <t>Horas disponibles totales</t>
  </si>
  <si>
    <t>Capacidad mensual estimada.</t>
  </si>
  <si>
    <t>Costo real controlado</t>
  </si>
  <si>
    <t>Costo real registrado en Control.</t>
  </si>
  <si>
    <t>Costo promedio por hora</t>
  </si>
  <si>
    <t>Costo promedio ponderado del equipo.</t>
  </si>
  <si>
    <t>Variación total de costo</t>
  </si>
  <si>
    <t>Real menos presupuestado.</t>
  </si>
  <si>
    <t>Costo MO estimado</t>
  </si>
  <si>
    <t>Suma de costeo por productos/servicios.</t>
  </si>
  <si>
    <t>% desviación total</t>
  </si>
  <si>
    <t>Variación/costo presupuestado.</t>
  </si>
  <si>
    <t>Ventas proyectadas en Costeo.</t>
  </si>
  <si>
    <t>Ítems a revisar</t>
  </si>
  <si>
    <t>Filas con estado Revisar.</t>
  </si>
  <si>
    <t>Comparación de costo presupuestado vs costo real (primeros 5 registros del control)</t>
  </si>
  <si>
    <t>Variación</t>
  </si>
  <si>
    <t>Acciones correctivas registradas en Control (primeros 5 registros)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</si>
</sst>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[Red]\-\$#,##0.00;&quot;-&quot;"/>
    <numFmt numFmtId="165" formatCode="#,##0.00;[Red]\-#,##0.00;&quot;-&quot;"/>
    <numFmt numFmtId="166" formatCode="0.0%;[Red]\-0.0%;&quot;-&quot;"/>
    <numFmt numFmtId="167" formatCode="#,##0;[Red]\-#,##0;&quot;-&quot;"/>
  </numFmts>
  <fonts count="10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sz val="11"/>
      <color rgb="FF1F2937"/>
      <name val="Carlito"/>
    </font>
    <font>
      <b/>
      <sz val="11"/>
      <color rgb="FF1F2937"/>
      <name val="Carlito"/>
    </font>
    <font>
      <b/>
      <sz val="10"/>
      <color rgb="FF1F2937"/>
      <name val="Aptos"/>
      <family val="2"/>
    </font>
    <font>
      <sz val="10"/>
      <color rgb="FF1F2937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75C"/>
      </patternFill>
    </fill>
    <fill>
      <patternFill patternType="solid">
        <fgColor rgb="FFF3F6F8"/>
      </patternFill>
    </fill>
    <fill>
      <patternFill patternType="solid">
        <fgColor rgb="FFFFF4D6"/>
      </patternFill>
    </fill>
    <fill>
      <patternFill patternType="solid">
        <fgColor rgb="FFE8F1FA"/>
      </patternFill>
    </fill>
    <fill>
      <patternFill patternType="solid">
        <fgColor rgb="FFE6F4EA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75C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3F6F8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E8F1FA"/>
        <bgColor indexed="64"/>
      </patternFill>
    </fill>
    <fill>
      <patternFill patternType="solid">
        <fgColor rgb="FFE6F4E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/>
    <xf numFmtId="0" fontId="7" fillId="8" borderId="0" xfId="0" applyFont="1" applyFill="1" applyAlignment="1">
      <alignment horizontal="left" vertical="center" wrapText="1"/>
    </xf>
    <xf numFmtId="0" fontId="6" fillId="9" borderId="0" xfId="0" applyFont="1" applyFill="1"/>
    <xf numFmtId="0" fontId="0" fillId="9" borderId="0" xfId="0" applyFill="1"/>
    <xf numFmtId="0" fontId="8" fillId="10" borderId="0" xfId="0" applyFont="1" applyFill="1" applyAlignment="1">
      <alignment horizontal="left" vertical="center" wrapText="1"/>
    </xf>
    <xf numFmtId="0" fontId="6" fillId="9" borderId="0" xfId="0" applyFont="1" applyFill="1" applyAlignment="1">
      <alignment wrapText="1"/>
    </xf>
    <xf numFmtId="0" fontId="9" fillId="11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vertical="top"/>
    </xf>
    <xf numFmtId="0" fontId="9" fillId="11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6" fillId="13" borderId="0" xfId="0" applyFont="1" applyFill="1" applyAlignment="1">
      <alignment vertical="top" wrapText="1"/>
    </xf>
    <xf numFmtId="0" fontId="6" fillId="12" borderId="0" xfId="0" applyFont="1" applyFill="1" applyAlignment="1">
      <alignment vertical="top" wrapText="1"/>
    </xf>
    <xf numFmtId="0" fontId="6" fillId="14" borderId="0" xfId="0" applyFont="1" applyFill="1" applyAlignment="1">
      <alignment vertical="top" wrapText="1"/>
    </xf>
    <xf numFmtId="0" fontId="6" fillId="15" borderId="0" xfId="0" applyFont="1" applyFill="1" applyAlignment="1">
      <alignment vertical="top" wrapText="1"/>
    </xf>
    <xf numFmtId="0" fontId="9" fillId="8" borderId="0" xfId="0" applyFont="1" applyFill="1" applyAlignment="1">
      <alignment vertical="top" wrapText="1"/>
    </xf>
    <xf numFmtId="164" fontId="5" fillId="15" borderId="0" xfId="0" applyNumberFormat="1" applyFont="1" applyFill="1" applyAlignment="1">
      <alignment vertical="top" wrapText="1"/>
    </xf>
    <xf numFmtId="166" fontId="5" fillId="15" borderId="0" xfId="0" applyNumberFormat="1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165" fontId="5" fillId="15" borderId="0" xfId="0" applyNumberFormat="1" applyFont="1" applyFill="1" applyAlignment="1">
      <alignment vertical="top" wrapText="1"/>
    </xf>
    <xf numFmtId="167" fontId="5" fillId="15" borderId="0" xfId="0" applyNumberFormat="1" applyFont="1" applyFill="1" applyAlignment="1">
      <alignment vertical="top" wrapText="1"/>
    </xf>
    <xf numFmtId="164" fontId="6" fillId="12" borderId="0" xfId="0" applyNumberFormat="1" applyFont="1" applyFill="1" applyAlignment="1">
      <alignment vertical="top" wrapText="1"/>
    </xf>
    <xf numFmtId="166" fontId="6" fillId="12" borderId="0" xfId="0" applyNumberFormat="1" applyFont="1" applyFill="1" applyAlignment="1">
      <alignment vertical="top" wrapText="1"/>
    </xf>
    <xf numFmtId="0" fontId="7" fillId="2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6" fillId="5" borderId="0" xfId="0" applyFont="1" applyFill="1" applyAlignment="1" applyProtection="1">
      <alignment vertical="top" wrapText="1"/>
      <protection locked="0"/>
    </xf>
    <xf numFmtId="164" fontId="6" fillId="5" borderId="0" xfId="0" applyNumberFormat="1" applyFont="1" applyFill="1" applyAlignment="1" applyProtection="1">
      <alignment vertical="top" wrapText="1"/>
      <protection locked="0"/>
    </xf>
    <xf numFmtId="165" fontId="6" fillId="5" borderId="0" xfId="0" applyNumberFormat="1" applyFont="1" applyFill="1" applyAlignment="1" applyProtection="1">
      <alignment vertical="top" wrapText="1"/>
      <protection locked="0"/>
    </xf>
    <xf numFmtId="165" fontId="6" fillId="6" borderId="0" xfId="0" applyNumberFormat="1" applyFont="1" applyFill="1" applyAlignment="1" applyProtection="1">
      <alignment vertical="top" wrapText="1"/>
      <protection locked="0"/>
    </xf>
    <xf numFmtId="164" fontId="6" fillId="6" borderId="0" xfId="0" applyNumberFormat="1" applyFont="1" applyFill="1" applyAlignment="1" applyProtection="1">
      <alignment vertical="top" wrapText="1"/>
      <protection locked="0"/>
    </xf>
    <xf numFmtId="164" fontId="5" fillId="7" borderId="0" xfId="0" applyNumberFormat="1" applyFont="1" applyFill="1" applyAlignment="1" applyProtection="1">
      <alignment vertical="top" wrapText="1"/>
      <protection locked="0"/>
    </xf>
    <xf numFmtId="166" fontId="5" fillId="7" borderId="0" xfId="0" applyNumberFormat="1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vertical="top" wrapText="1"/>
      <protection locked="0"/>
    </xf>
    <xf numFmtId="0" fontId="4" fillId="7" borderId="0" xfId="0" applyFont="1" applyFill="1" applyAlignment="1" applyProtection="1">
      <alignment vertical="top" wrapText="1"/>
      <protection locked="0"/>
    </xf>
  </cellXfs>
  <cellStyles count="1">
    <cellStyle name="Normal" xfId="0" builtinId="0"/>
  </cellStyles>
  <dxfs count="67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7A4B00"/>
      </font>
      <fill>
        <patternFill>
          <bgColor rgb="FFFFF2CC"/>
        </patternFill>
      </fill>
    </dxf>
    <dxf>
      <font>
        <b/>
        <color rgb="FF991B1B"/>
      </font>
      <fill>
        <patternFill>
          <bgColor rgb="FFFDECEA"/>
        </patternFill>
      </fill>
    </dxf>
    <dxf>
      <font>
        <b/>
        <color rgb="FFB91C1C"/>
      </font>
    </dxf>
    <dxf>
      <font>
        <b/>
        <color rgb="FF14532D"/>
      </font>
      <fill>
        <patternFill>
          <bgColor rgb="FFE6F4EA"/>
        </patternFill>
      </fill>
    </dxf>
    <dxf>
      <font>
        <b/>
        <color rgb="FF0B1F3A"/>
      </font>
      <fill>
        <patternFill>
          <bgColor rgb="FFEAF2F8"/>
        </patternFill>
      </fill>
    </dxf>
    <dxf>
      <font>
        <b/>
        <color rgb="FF991B1B"/>
      </font>
      <fill>
        <patternFill>
          <bgColor rgb="FFFDECEA"/>
        </patternFill>
      </fill>
    </dxf>
    <dxf>
      <font>
        <b/>
        <color rgb="FFB91C1C"/>
      </font>
    </dxf>
    <dxf>
      <font>
        <b/>
        <color rgb="FF14532D"/>
      </font>
      <fill>
        <patternFill>
          <bgColor rgb="FFE6F4EA"/>
        </patternFill>
      </fill>
    </dxf>
    <dxf>
      <font>
        <b/>
        <color rgb="FF7A4B00"/>
      </font>
      <fill>
        <patternFill>
          <bgColor rgb="FFFFF2CC"/>
        </patternFill>
      </fill>
    </dxf>
    <dxf>
      <font>
        <b/>
        <color rgb="FF991B1B"/>
      </font>
      <fill>
        <patternFill>
          <bgColor rgb="FFFDEC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Costo presupuestado vs costo real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Costo presupuestado</c:v>
          </c:tx>
          <c:invertIfNegative val="1"/>
          <c:cat>
            <c:strRef>
              <c:f>'6_Resumen'!$A$17:$A$21</c:f>
              <c:strCache>
                <c:ptCount val="5"/>
                <c:pt idx="0">
                  <c:v>Pan artesanal familiar</c:v>
                </c:pt>
                <c:pt idx="1">
                  <c:v>Torta personalizada</c:v>
                </c:pt>
                <c:pt idx="2">
                  <c:v>Pedidos ecommerce</c:v>
                </c:pt>
                <c:pt idx="3">
                  <c:v>Pack desayuno empresarial</c:v>
                </c:pt>
                <c:pt idx="4">
                  <c:v>Limpieza cierre diario</c:v>
                </c:pt>
              </c:strCache>
            </c:strRef>
          </c:cat>
          <c:val>
            <c:numRef>
              <c:f>'6_Resumen'!$B$17:$B$21</c:f>
              <c:numCache>
                <c:formatCode>\$#,##0.00;[Red]\-\$#,##0.00;"-"</c:formatCode>
                <c:ptCount val="5"/>
                <c:pt idx="0">
                  <c:v>306.25</c:v>
                </c:pt>
                <c:pt idx="1">
                  <c:v>294</c:v>
                </c:pt>
                <c:pt idx="2">
                  <c:v>180.55555555555557</c:v>
                </c:pt>
                <c:pt idx="3">
                  <c:v>189</c:v>
                </c:pt>
                <c:pt idx="4">
                  <c:v>144.85714285714286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23-4259-B922-2057DBA125EC}"/>
            </c:ext>
          </c:extLst>
        </c:ser>
        <c:ser>
          <c:idx val="1"/>
          <c:order val="1"/>
          <c:tx>
            <c:v>Costo real</c:v>
          </c:tx>
          <c:invertIfNegative val="1"/>
          <c:cat>
            <c:strRef>
              <c:f>'6_Resumen'!$A$17:$A$21</c:f>
              <c:strCache>
                <c:ptCount val="5"/>
                <c:pt idx="0">
                  <c:v>Pan artesanal familiar</c:v>
                </c:pt>
                <c:pt idx="1">
                  <c:v>Torta personalizada</c:v>
                </c:pt>
                <c:pt idx="2">
                  <c:v>Pedidos ecommerce</c:v>
                </c:pt>
                <c:pt idx="3">
                  <c:v>Pack desayuno empresarial</c:v>
                </c:pt>
                <c:pt idx="4">
                  <c:v>Limpieza cierre diario</c:v>
                </c:pt>
              </c:strCache>
            </c:strRef>
          </c:cat>
          <c:val>
            <c:numRef>
              <c:f>'6_Resumen'!$C$17:$C$21</c:f>
              <c:numCache>
                <c:formatCode>\$#,##0.00;[Red]\-\$#,##0.00;"-"</c:formatCode>
                <c:ptCount val="5"/>
                <c:pt idx="0">
                  <c:v>343</c:v>
                </c:pt>
                <c:pt idx="1">
                  <c:v>269.5</c:v>
                </c:pt>
                <c:pt idx="2">
                  <c:v>216.66666666666666</c:v>
                </c:pt>
                <c:pt idx="3">
                  <c:v>180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23-4259-B922-2057DBA12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.00;[Red]\-\$#,##0.00;&quot;-&quot;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44A443-A908-4BDB-B3BC-BB2ED8301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873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124126-2F43-4A35-B2C7-33CCBD2D0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114592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420576-BDFB-483B-BB38-6EAD56E03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211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18</xdr:col>
      <xdr:colOff>114592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02702-4905-4D95-8C85-88E0843D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5035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19</xdr:col>
      <xdr:colOff>114592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66A6BC-12C0-4F8B-B20F-F9FC5410F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36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381000</xdr:colOff>
      <xdr:row>0</xdr:row>
      <xdr:rowOff>0</xdr:rowOff>
    </xdr:from>
    <xdr:to>
      <xdr:col>17</xdr:col>
      <xdr:colOff>495592</xdr:colOff>
      <xdr:row>1</xdr:row>
      <xdr:rowOff>287655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E744DE-7AB2-45DA-A93D-F96C97BE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26800" y="0"/>
          <a:ext cx="2114842" cy="592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Glosario" displayName="TblGlosario" ref="A4:E23" headerRowDxfId="51" dataDxfId="49" totalsRowDxfId="50">
  <tableColumns count="5">
    <tableColumn id="1" xr3:uid="{00000000-0010-0000-0000-000001000000}" name="Término" dataDxfId="56"/>
    <tableColumn id="2" xr3:uid="{00000000-0010-0000-0000-000002000000}" name="Definición simple" dataDxfId="55"/>
    <tableColumn id="3" xr3:uid="{00000000-0010-0000-0000-000003000000}" name="Dónde se usa" dataDxfId="54"/>
    <tableColumn id="4" xr3:uid="{00000000-0010-0000-0000-000004000000}" name="Ejemplo práctico" dataDxfId="53"/>
    <tableColumn id="5" xr3:uid="{00000000-0010-0000-0000-000005000000}" name="Observación" data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DatosBase" displayName="TblDatosBase" ref="A8:J28" headerRowDxfId="38" dataDxfId="36" totalsRowDxfId="37">
  <tableColumns count="10">
    <tableColumn id="1" xr3:uid="{00000000-0010-0000-0100-000001000000}" name="Cargo o persona" dataDxfId="48"/>
    <tableColumn id="2" xr3:uid="{00000000-0010-0000-0100-000002000000}" name="Área" dataDxfId="47"/>
    <tableColumn id="3" xr3:uid="{00000000-0010-0000-0100-000003000000}" name="Tipo de mano de obra" dataDxfId="46"/>
    <tableColumn id="4" xr3:uid="{00000000-0010-0000-0100-000004000000}" name="Costo mensual total" dataDxfId="45"/>
    <tableColumn id="5" xr3:uid="{00000000-0010-0000-0100-000005000000}" name="Horas contratadas/mes" dataDxfId="44"/>
    <tableColumn id="6" xr3:uid="{00000000-0010-0000-0100-000006000000}" name="Horas no productivas/mes" dataDxfId="43"/>
    <tableColumn id="7" xr3:uid="{00000000-0010-0000-0100-000007000000}" name="Horas disponibles" dataDxfId="42"/>
    <tableColumn id="8" xr3:uid="{00000000-0010-0000-0100-000008000000}" name="Costo por hora" dataDxfId="41"/>
    <tableColumn id="9" xr3:uid="{00000000-0010-0000-0100-000009000000}" name="Estado" dataDxfId="40"/>
    <tableColumn id="10" xr3:uid="{00000000-0010-0000-0100-00000A000000}" name="Observaciones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Costeo" displayName="TblCosteo" ref="A8:N28" headerRowDxfId="21" dataDxfId="19" totalsRowDxfId="20">
  <tableColumns count="14">
    <tableColumn id="1" xr3:uid="{00000000-0010-0000-0200-000001000000}" name="Producto / servicio / pedido" dataDxfId="35"/>
    <tableColumn id="2" xr3:uid="{00000000-0010-0000-0200-000002000000}" name="Área" dataDxfId="34"/>
    <tableColumn id="3" xr3:uid="{00000000-0010-0000-0200-000003000000}" name="Tipo mano de obra" dataDxfId="33"/>
    <tableColumn id="4" xr3:uid="{00000000-0010-0000-0200-000004000000}" name="Cargo principal" dataDxfId="32"/>
    <tableColumn id="5" xr3:uid="{00000000-0010-0000-0200-000005000000}" name="Unidades estimadas" dataDxfId="31"/>
    <tableColumn id="6" xr3:uid="{00000000-0010-0000-0200-000006000000}" name="Horas por unidad" dataDxfId="30"/>
    <tableColumn id="7" xr3:uid="{00000000-0010-0000-0200-000007000000}" name="Costo por hora" dataDxfId="29"/>
    <tableColumn id="8" xr3:uid="{00000000-0010-0000-0200-000008000000}" name="Costo MO por unidad" dataDxfId="28"/>
    <tableColumn id="9" xr3:uid="{00000000-0010-0000-0200-000009000000}" name="Costo total MO" dataDxfId="27"/>
    <tableColumn id="10" xr3:uid="{00000000-0010-0000-0200-00000A000000}" name="Precio venta unitario" dataDxfId="26"/>
    <tableColumn id="11" xr3:uid="{00000000-0010-0000-0200-00000B000000}" name="Ventas estimadas" dataDxfId="25"/>
    <tableColumn id="12" xr3:uid="{00000000-0010-0000-0200-00000C000000}" name="MO sobre ventas" dataDxfId="24"/>
    <tableColumn id="13" xr3:uid="{00000000-0010-0000-0200-00000D000000}" name="Semáforo" dataDxfId="23"/>
    <tableColumn id="14" xr3:uid="{00000000-0010-0000-0200-00000E000000}" name="Observaciones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Control" displayName="TblControl" ref="A8:P28" headerRowDxfId="2" dataDxfId="0" totalsRowDxfId="1">
  <tableColumns count="16">
    <tableColumn id="1" xr3:uid="{00000000-0010-0000-0300-000001000000}" name="Periodo" dataDxfId="18"/>
    <tableColumn id="2" xr3:uid="{00000000-0010-0000-0300-000002000000}" name="Producto / área" dataDxfId="17"/>
    <tableColumn id="3" xr3:uid="{00000000-0010-0000-0300-000003000000}" name="Cargo" dataDxfId="16"/>
    <tableColumn id="4" xr3:uid="{00000000-0010-0000-0300-000004000000}" name="Unidades reales" dataDxfId="15"/>
    <tableColumn id="5" xr3:uid="{00000000-0010-0000-0300-000005000000}" name="Horas presupuestadas" dataDxfId="14"/>
    <tableColumn id="6" xr3:uid="{00000000-0010-0000-0300-000006000000}" name="Horas reales" dataDxfId="13"/>
    <tableColumn id="7" xr3:uid="{00000000-0010-0000-0300-000007000000}" name="Variación horas" dataDxfId="12"/>
    <tableColumn id="8" xr3:uid="{00000000-0010-0000-0300-000008000000}" name="Costo hora presup." dataDxfId="11"/>
    <tableColumn id="9" xr3:uid="{00000000-0010-0000-0300-000009000000}" name="Costo presupuestado" dataDxfId="10"/>
    <tableColumn id="10" xr3:uid="{00000000-0010-0000-0300-00000A000000}" name="Costo hora real" dataDxfId="9"/>
    <tableColumn id="11" xr3:uid="{00000000-0010-0000-0300-00000B000000}" name="Costo real" dataDxfId="8"/>
    <tableColumn id="12" xr3:uid="{00000000-0010-0000-0300-00000C000000}" name="Variación costo" dataDxfId="7"/>
    <tableColumn id="13" xr3:uid="{00000000-0010-0000-0300-00000D000000}" name="% desviación costo" dataDxfId="6"/>
    <tableColumn id="14" xr3:uid="{00000000-0010-0000-0300-00000E000000}" name="Causa" dataDxfId="5"/>
    <tableColumn id="15" xr3:uid="{00000000-0010-0000-0300-00000F000000}" name="Acción correctiva" dataDxfId="4"/>
    <tableColumn id="16" xr3:uid="{00000000-0010-0000-0300-000010000000}" name="Estado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workbookViewId="0">
      <selection activeCell="C31" sqref="C31"/>
    </sheetView>
  </sheetViews>
  <sheetFormatPr baseColWidth="10" defaultColWidth="8.796875" defaultRowHeight="13.8"/>
  <cols>
    <col min="1" max="1" width="20.5" style="4" bestFit="1" customWidth="1"/>
    <col min="2" max="2" width="22.796875" style="4" customWidth="1"/>
    <col min="3" max="3" width="35.19921875" style="4" bestFit="1" customWidth="1"/>
    <col min="4" max="4" width="4" style="4" customWidth="1"/>
    <col min="5" max="5" width="4.69921875" style="4" bestFit="1" customWidth="1"/>
    <col min="6" max="6" width="11.296875" style="4" bestFit="1" customWidth="1"/>
    <col min="7" max="7" width="61.8984375" style="4" bestFit="1" customWidth="1"/>
    <col min="8" max="16384" width="8.796875" style="4"/>
  </cols>
  <sheetData>
    <row r="1" spans="1:11" ht="2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ht="14.4">
      <c r="A2" s="5" t="s">
        <v>1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ht="14.4">
      <c r="A3" s="6"/>
      <c r="B3" s="6"/>
      <c r="C3" s="6"/>
      <c r="D3" s="6"/>
      <c r="E3" s="6"/>
      <c r="F3" s="6"/>
      <c r="G3" s="6"/>
      <c r="H3" s="3"/>
      <c r="I3" s="3"/>
      <c r="J3" s="3"/>
      <c r="K3" s="3"/>
    </row>
    <row r="4" spans="1:11" ht="14.4">
      <c r="A4" s="7" t="s">
        <v>2</v>
      </c>
      <c r="B4" s="8" t="s">
        <v>3</v>
      </c>
      <c r="C4" s="6"/>
      <c r="D4" s="6"/>
      <c r="E4" s="6"/>
      <c r="F4" s="6"/>
      <c r="G4" s="6"/>
      <c r="H4" s="3"/>
      <c r="I4" s="3"/>
      <c r="J4" s="3"/>
      <c r="K4" s="3"/>
    </row>
    <row r="5" spans="1:11" ht="14.4">
      <c r="A5" s="7" t="s">
        <v>4</v>
      </c>
      <c r="B5" s="8" t="s">
        <v>5</v>
      </c>
      <c r="C5" s="6"/>
      <c r="D5" s="6"/>
      <c r="E5" s="6"/>
      <c r="F5" s="6"/>
      <c r="G5" s="6"/>
      <c r="H5" s="3"/>
      <c r="I5" s="3"/>
      <c r="J5" s="3"/>
      <c r="K5" s="3"/>
    </row>
    <row r="6" spans="1:11" ht="14.4">
      <c r="A6" s="7" t="s">
        <v>6</v>
      </c>
      <c r="B6" s="8" t="s">
        <v>7</v>
      </c>
      <c r="C6" s="6"/>
      <c r="D6" s="6"/>
      <c r="E6" s="6"/>
      <c r="F6" s="6"/>
      <c r="G6" s="6"/>
      <c r="H6" s="3"/>
      <c r="I6" s="3"/>
      <c r="J6" s="3"/>
      <c r="K6" s="3"/>
    </row>
    <row r="7" spans="1:11" ht="14.4">
      <c r="A7" s="7" t="s">
        <v>8</v>
      </c>
      <c r="B7" s="8" t="s">
        <v>9</v>
      </c>
      <c r="C7" s="6"/>
      <c r="D7" s="6"/>
      <c r="E7" s="6"/>
      <c r="F7" s="6"/>
      <c r="G7" s="6"/>
      <c r="H7" s="3"/>
      <c r="I7" s="3"/>
      <c r="J7" s="3"/>
      <c r="K7" s="3"/>
    </row>
    <row r="8" spans="1:11" ht="14.4">
      <c r="A8" s="7" t="s">
        <v>10</v>
      </c>
      <c r="B8" s="8" t="s">
        <v>11</v>
      </c>
      <c r="C8" s="6"/>
      <c r="D8" s="6"/>
      <c r="E8" s="6"/>
      <c r="F8" s="6"/>
      <c r="G8" s="6"/>
      <c r="H8" s="3"/>
      <c r="I8" s="3"/>
      <c r="J8" s="3"/>
      <c r="K8" s="3"/>
    </row>
    <row r="9" spans="1:11" ht="14.4">
      <c r="A9" s="7" t="s">
        <v>12</v>
      </c>
      <c r="B9" s="8" t="s">
        <v>13</v>
      </c>
      <c r="C9" s="6"/>
      <c r="D9" s="6"/>
      <c r="E9" s="6"/>
      <c r="F9" s="6"/>
      <c r="G9" s="6"/>
      <c r="H9" s="3"/>
      <c r="I9" s="3"/>
      <c r="J9" s="3"/>
      <c r="K9" s="3"/>
    </row>
    <row r="10" spans="1:11" ht="14.4">
      <c r="A10" s="7" t="s">
        <v>14</v>
      </c>
      <c r="B10" s="8" t="s">
        <v>15</v>
      </c>
      <c r="C10" s="6"/>
      <c r="D10" s="6"/>
      <c r="E10" s="6"/>
      <c r="F10" s="6"/>
      <c r="G10" s="6"/>
      <c r="H10" s="3"/>
      <c r="I10" s="3"/>
      <c r="J10" s="3"/>
      <c r="K10" s="3"/>
    </row>
    <row r="11" spans="1:11" ht="14.4">
      <c r="A11" s="7" t="s">
        <v>16</v>
      </c>
      <c r="B11" s="8" t="s">
        <v>17</v>
      </c>
      <c r="C11" s="6"/>
      <c r="D11" s="6"/>
      <c r="E11" s="6"/>
      <c r="F11" s="6"/>
      <c r="G11" s="6"/>
      <c r="H11" s="3"/>
      <c r="I11" s="3"/>
      <c r="J11" s="3"/>
      <c r="K11" s="3"/>
    </row>
    <row r="12" spans="1:11" ht="14.4">
      <c r="A12" s="6"/>
      <c r="B12" s="6"/>
      <c r="C12" s="6"/>
      <c r="D12" s="6"/>
      <c r="E12" s="6"/>
      <c r="F12" s="6"/>
      <c r="G12" s="6"/>
      <c r="H12" s="3"/>
      <c r="I12" s="3"/>
      <c r="J12" s="3"/>
      <c r="K12" s="3"/>
    </row>
    <row r="13" spans="1:11" ht="14.4">
      <c r="A13" s="9" t="s">
        <v>18</v>
      </c>
      <c r="B13" s="9"/>
      <c r="C13" s="9"/>
      <c r="D13" s="9"/>
      <c r="E13" s="9"/>
      <c r="F13" s="9"/>
      <c r="G13" s="9"/>
      <c r="H13" s="3"/>
      <c r="I13" s="3"/>
      <c r="J13" s="3"/>
      <c r="K13" s="3"/>
    </row>
    <row r="14" spans="1:11" ht="14.4">
      <c r="A14" s="10" t="s">
        <v>19</v>
      </c>
      <c r="B14" s="10" t="s">
        <v>20</v>
      </c>
      <c r="C14" s="10" t="s">
        <v>21</v>
      </c>
      <c r="D14" s="6"/>
      <c r="E14" s="11" t="s">
        <v>22</v>
      </c>
      <c r="F14" s="11"/>
      <c r="G14" s="11"/>
      <c r="H14" s="3"/>
      <c r="I14" s="3"/>
      <c r="J14" s="3"/>
      <c r="K14" s="3"/>
    </row>
    <row r="15" spans="1:11" ht="14.4">
      <c r="A15" s="12" t="s">
        <v>23</v>
      </c>
      <c r="B15" s="13" t="s">
        <v>24</v>
      </c>
      <c r="C15" s="13" t="s">
        <v>25</v>
      </c>
      <c r="D15" s="6"/>
      <c r="E15" s="10" t="s">
        <v>26</v>
      </c>
      <c r="F15" s="10" t="s">
        <v>27</v>
      </c>
      <c r="G15" s="10" t="s">
        <v>28</v>
      </c>
      <c r="H15" s="3"/>
      <c r="I15" s="3"/>
      <c r="J15" s="3"/>
      <c r="K15" s="3"/>
    </row>
    <row r="16" spans="1:11" ht="14.4">
      <c r="A16" s="14" t="s">
        <v>29</v>
      </c>
      <c r="B16" s="13" t="s">
        <v>30</v>
      </c>
      <c r="C16" s="13" t="s">
        <v>31</v>
      </c>
      <c r="D16" s="6"/>
      <c r="E16" s="13">
        <v>1</v>
      </c>
      <c r="F16" s="13" t="s">
        <v>32</v>
      </c>
      <c r="G16" s="13" t="s">
        <v>33</v>
      </c>
      <c r="H16" s="3"/>
      <c r="I16" s="3"/>
      <c r="J16" s="3"/>
      <c r="K16" s="3"/>
    </row>
    <row r="17" spans="1:11" ht="27.6">
      <c r="A17" s="15" t="s">
        <v>34</v>
      </c>
      <c r="B17" s="13" t="s">
        <v>35</v>
      </c>
      <c r="C17" s="13" t="s">
        <v>36</v>
      </c>
      <c r="D17" s="6"/>
      <c r="E17" s="13">
        <v>2</v>
      </c>
      <c r="F17" s="13" t="s">
        <v>37</v>
      </c>
      <c r="G17" s="13" t="s">
        <v>38</v>
      </c>
      <c r="H17" s="3"/>
      <c r="I17" s="3"/>
      <c r="J17" s="3"/>
      <c r="K17" s="3"/>
    </row>
    <row r="18" spans="1:11" ht="14.4">
      <c r="A18" s="16" t="s">
        <v>39</v>
      </c>
      <c r="B18" s="13" t="s">
        <v>40</v>
      </c>
      <c r="C18" s="13" t="s">
        <v>41</v>
      </c>
      <c r="D18" s="6"/>
      <c r="E18" s="13">
        <v>3</v>
      </c>
      <c r="F18" s="13" t="s">
        <v>42</v>
      </c>
      <c r="G18" s="13" t="s">
        <v>43</v>
      </c>
      <c r="H18" s="3"/>
      <c r="I18" s="3"/>
      <c r="J18" s="3"/>
      <c r="K18" s="3"/>
    </row>
    <row r="19" spans="1:11" ht="14.4">
      <c r="A19" s="6"/>
      <c r="B19" s="6"/>
      <c r="C19" s="6"/>
      <c r="D19" s="6"/>
      <c r="E19" s="13">
        <v>4</v>
      </c>
      <c r="F19" s="13" t="s">
        <v>44</v>
      </c>
      <c r="G19" s="13" t="s">
        <v>45</v>
      </c>
      <c r="H19" s="3"/>
      <c r="I19" s="3"/>
      <c r="J19" s="3"/>
      <c r="K19" s="3"/>
    </row>
    <row r="20" spans="1:11" ht="14.4">
      <c r="A20" s="6"/>
      <c r="B20" s="6"/>
      <c r="C20" s="6"/>
      <c r="D20" s="6"/>
      <c r="E20" s="6"/>
      <c r="F20" s="6"/>
      <c r="G20" s="6"/>
      <c r="H20" s="3"/>
      <c r="I20" s="3"/>
      <c r="J20" s="3"/>
      <c r="K20" s="3"/>
    </row>
    <row r="21" spans="1:11" ht="14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4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4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4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4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4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4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4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4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4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4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4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4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4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4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4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4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4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4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4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</sheetData>
  <sheetProtection algorithmName="SHA-512" hashValue="NOlRADGR9TUnFzK5rt2nCo2TiMWp0OnoQiuOzM0KxLMZ+MoW4qIsDxBu9mxDTe0BFm9ZmibNqoX+IvWzZQ3+4g==" saltValue="LR5tJQUkjCUMP+ArZ+8y/Q==" spinCount="100000" sheet="1" objects="1" scenarios="1" formatCells="0" formatColumns="0" formatRows="0" sort="0" autoFilter="0" pivotTables="0"/>
  <mergeCells count="4">
    <mergeCell ref="A1:G1"/>
    <mergeCell ref="A2:G2"/>
    <mergeCell ref="A13:G13"/>
    <mergeCell ref="E14:G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"/>
  <sheetViews>
    <sheetView workbookViewId="0">
      <selection activeCell="C12" sqref="C12"/>
    </sheetView>
  </sheetViews>
  <sheetFormatPr baseColWidth="10" defaultColWidth="8.796875" defaultRowHeight="13.8"/>
  <cols>
    <col min="1" max="1" width="24" style="4" customWidth="1"/>
    <col min="2" max="2" width="52" style="4" customWidth="1"/>
    <col min="3" max="3" width="22" style="4" customWidth="1"/>
    <col min="4" max="4" width="42" style="4" customWidth="1"/>
    <col min="5" max="5" width="40" style="4" customWidth="1"/>
    <col min="6" max="16384" width="8.796875" style="4"/>
  </cols>
  <sheetData>
    <row r="1" spans="1:14" ht="24" customHeight="1">
      <c r="A1" s="2" t="s">
        <v>46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4" ht="24" customHeight="1">
      <c r="A2" s="5" t="s">
        <v>47</v>
      </c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</row>
    <row r="3" spans="1:14" ht="14.4">
      <c r="A3" s="6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</row>
    <row r="4" spans="1:14" ht="14.4">
      <c r="A4" s="10" t="s">
        <v>48</v>
      </c>
      <c r="B4" s="10" t="s">
        <v>49</v>
      </c>
      <c r="C4" s="10" t="s">
        <v>50</v>
      </c>
      <c r="D4" s="10" t="s">
        <v>51</v>
      </c>
      <c r="E4" s="10" t="s">
        <v>52</v>
      </c>
      <c r="F4" s="3"/>
      <c r="G4" s="3"/>
      <c r="H4" s="3"/>
      <c r="I4" s="3"/>
      <c r="J4" s="3"/>
      <c r="K4" s="3"/>
      <c r="L4" s="3"/>
      <c r="M4" s="3"/>
      <c r="N4" s="3"/>
    </row>
    <row r="5" spans="1:14" ht="27.6">
      <c r="A5" s="13" t="s">
        <v>53</v>
      </c>
      <c r="B5" s="13" t="s">
        <v>54</v>
      </c>
      <c r="C5" s="13" t="s">
        <v>55</v>
      </c>
      <c r="D5" s="13" t="s">
        <v>56</v>
      </c>
      <c r="E5" s="13" t="s">
        <v>57</v>
      </c>
      <c r="F5" s="3"/>
      <c r="G5" s="3"/>
      <c r="H5" s="3"/>
      <c r="I5" s="3"/>
      <c r="J5" s="3"/>
      <c r="K5" s="3"/>
      <c r="L5" s="3"/>
      <c r="M5" s="3"/>
      <c r="N5" s="3"/>
    </row>
    <row r="6" spans="1:14" ht="27.6">
      <c r="A6" s="13" t="s">
        <v>58</v>
      </c>
      <c r="B6" s="13" t="s">
        <v>59</v>
      </c>
      <c r="C6" s="13" t="s">
        <v>60</v>
      </c>
      <c r="D6" s="13" t="s">
        <v>61</v>
      </c>
      <c r="E6" s="13" t="s">
        <v>62</v>
      </c>
      <c r="F6" s="3"/>
      <c r="G6" s="3"/>
      <c r="H6" s="3"/>
      <c r="I6" s="3"/>
      <c r="J6" s="3"/>
      <c r="K6" s="3"/>
      <c r="L6" s="3"/>
      <c r="M6" s="3"/>
      <c r="N6" s="3"/>
    </row>
    <row r="7" spans="1:14" ht="27.6">
      <c r="A7" s="13" t="s">
        <v>63</v>
      </c>
      <c r="B7" s="13" t="s">
        <v>64</v>
      </c>
      <c r="C7" s="13" t="s">
        <v>65</v>
      </c>
      <c r="D7" s="13" t="s">
        <v>66</v>
      </c>
      <c r="E7" s="13" t="s">
        <v>67</v>
      </c>
      <c r="F7" s="3"/>
      <c r="G7" s="3"/>
      <c r="H7" s="3"/>
      <c r="I7" s="3"/>
      <c r="J7" s="3"/>
      <c r="K7" s="3"/>
      <c r="L7" s="3"/>
      <c r="M7" s="3"/>
      <c r="N7" s="3"/>
    </row>
    <row r="8" spans="1:14" ht="28.8" customHeight="1">
      <c r="A8" s="13" t="s">
        <v>68</v>
      </c>
      <c r="B8" s="13" t="s">
        <v>69</v>
      </c>
      <c r="C8" s="13" t="s">
        <v>65</v>
      </c>
      <c r="D8" s="13" t="s">
        <v>70</v>
      </c>
      <c r="E8" s="13" t="s">
        <v>71</v>
      </c>
      <c r="F8" s="3"/>
      <c r="G8" s="3"/>
      <c r="H8" s="3"/>
      <c r="I8" s="3"/>
      <c r="J8" s="3"/>
      <c r="K8" s="3"/>
      <c r="L8" s="3"/>
      <c r="M8" s="3"/>
      <c r="N8" s="3"/>
    </row>
    <row r="9" spans="1:14" ht="14.4">
      <c r="A9" s="13" t="s">
        <v>72</v>
      </c>
      <c r="B9" s="13" t="s">
        <v>73</v>
      </c>
      <c r="C9" s="13" t="s">
        <v>65</v>
      </c>
      <c r="D9" s="13" t="s">
        <v>74</v>
      </c>
      <c r="E9" s="13" t="s">
        <v>75</v>
      </c>
      <c r="F9" s="3"/>
      <c r="G9" s="3"/>
      <c r="H9" s="3"/>
      <c r="I9" s="3"/>
      <c r="J9" s="3"/>
      <c r="K9" s="3"/>
      <c r="L9" s="3"/>
      <c r="M9" s="3"/>
      <c r="N9" s="3"/>
    </row>
    <row r="10" spans="1:14" ht="27.6">
      <c r="A10" s="13" t="s">
        <v>76</v>
      </c>
      <c r="B10" s="13" t="s">
        <v>77</v>
      </c>
      <c r="C10" s="13" t="s">
        <v>65</v>
      </c>
      <c r="D10" s="13" t="s">
        <v>78</v>
      </c>
      <c r="E10" s="13" t="s">
        <v>79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ht="14.4">
      <c r="A11" s="13" t="s">
        <v>80</v>
      </c>
      <c r="B11" s="13" t="s">
        <v>81</v>
      </c>
      <c r="C11" s="13" t="s">
        <v>65</v>
      </c>
      <c r="D11" s="13" t="s">
        <v>82</v>
      </c>
      <c r="E11" s="13" t="s">
        <v>83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ht="14.4">
      <c r="A12" s="13" t="s">
        <v>84</v>
      </c>
      <c r="B12" s="13" t="s">
        <v>85</v>
      </c>
      <c r="C12" s="13" t="s">
        <v>86</v>
      </c>
      <c r="D12" s="13" t="s">
        <v>87</v>
      </c>
      <c r="E12" s="13" t="s">
        <v>88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ht="14.4">
      <c r="A13" s="13" t="s">
        <v>89</v>
      </c>
      <c r="B13" s="13" t="s">
        <v>90</v>
      </c>
      <c r="C13" s="13" t="s">
        <v>91</v>
      </c>
      <c r="D13" s="13" t="s">
        <v>92</v>
      </c>
      <c r="E13" s="13" t="s">
        <v>93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ht="14.4">
      <c r="A14" s="13" t="s">
        <v>94</v>
      </c>
      <c r="B14" s="13" t="s">
        <v>95</v>
      </c>
      <c r="C14" s="13" t="s">
        <v>91</v>
      </c>
      <c r="D14" s="13" t="s">
        <v>96</v>
      </c>
      <c r="E14" s="13" t="s">
        <v>97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ht="14.4">
      <c r="A15" s="13" t="s">
        <v>98</v>
      </c>
      <c r="B15" s="13" t="s">
        <v>99</v>
      </c>
      <c r="C15" s="13" t="s">
        <v>55</v>
      </c>
      <c r="D15" s="13" t="s">
        <v>100</v>
      </c>
      <c r="E15" s="13" t="s">
        <v>101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ht="14.4">
      <c r="A16" s="13" t="s">
        <v>102</v>
      </c>
      <c r="B16" s="13" t="s">
        <v>103</v>
      </c>
      <c r="C16" s="13" t="s">
        <v>104</v>
      </c>
      <c r="D16" s="13" t="s">
        <v>105</v>
      </c>
      <c r="E16" s="13" t="s">
        <v>106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ht="14.4">
      <c r="A17" s="13" t="s">
        <v>107</v>
      </c>
      <c r="B17" s="13" t="s">
        <v>108</v>
      </c>
      <c r="C17" s="13" t="s">
        <v>104</v>
      </c>
      <c r="D17" s="13" t="s">
        <v>109</v>
      </c>
      <c r="E17" s="13" t="s">
        <v>110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ht="14.4">
      <c r="A18" s="13" t="s">
        <v>111</v>
      </c>
      <c r="B18" s="13" t="s">
        <v>112</v>
      </c>
      <c r="C18" s="13" t="s">
        <v>104</v>
      </c>
      <c r="D18" s="13" t="s">
        <v>113</v>
      </c>
      <c r="E18" s="13" t="s">
        <v>114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ht="14.4">
      <c r="A19" s="13" t="s">
        <v>115</v>
      </c>
      <c r="B19" s="13" t="s">
        <v>116</v>
      </c>
      <c r="C19" s="13" t="s">
        <v>117</v>
      </c>
      <c r="D19" s="13" t="s">
        <v>118</v>
      </c>
      <c r="E19" s="13" t="s">
        <v>119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ht="14.4">
      <c r="A20" s="13" t="s">
        <v>120</v>
      </c>
      <c r="B20" s="13" t="s">
        <v>121</v>
      </c>
      <c r="C20" s="13" t="s">
        <v>122</v>
      </c>
      <c r="D20" s="13" t="s">
        <v>123</v>
      </c>
      <c r="E20" s="13" t="s">
        <v>124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ht="14.4">
      <c r="A21" s="13" t="s">
        <v>125</v>
      </c>
      <c r="B21" s="13" t="s">
        <v>126</v>
      </c>
      <c r="C21" s="13" t="s">
        <v>127</v>
      </c>
      <c r="D21" s="13" t="s">
        <v>128</v>
      </c>
      <c r="E21" s="13" t="s">
        <v>129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ht="27.6">
      <c r="A22" s="13" t="s">
        <v>130</v>
      </c>
      <c r="B22" s="13" t="s">
        <v>131</v>
      </c>
      <c r="C22" s="13" t="s">
        <v>104</v>
      </c>
      <c r="D22" s="13" t="s">
        <v>132</v>
      </c>
      <c r="E22" s="13" t="s">
        <v>133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ht="27.6">
      <c r="A23" s="13" t="s">
        <v>134</v>
      </c>
      <c r="B23" s="13" t="s">
        <v>135</v>
      </c>
      <c r="C23" s="13" t="s">
        <v>104</v>
      </c>
      <c r="D23" s="13" t="s">
        <v>136</v>
      </c>
      <c r="E23" s="13" t="s">
        <v>137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ht="14.4">
      <c r="A24" s="6"/>
      <c r="B24" s="6"/>
      <c r="C24" s="6"/>
      <c r="D24" s="6"/>
      <c r="E24" s="6"/>
      <c r="F24" s="3"/>
      <c r="G24" s="3"/>
      <c r="H24" s="3"/>
      <c r="I24" s="3"/>
      <c r="J24" s="3"/>
      <c r="K24" s="3"/>
      <c r="L24" s="3"/>
      <c r="M24" s="3"/>
      <c r="N24" s="3"/>
    </row>
    <row r="25" spans="1:14" ht="14.4">
      <c r="A25" s="6"/>
      <c r="B25" s="6"/>
      <c r="C25" s="6"/>
      <c r="D25" s="6"/>
      <c r="E25" s="6"/>
      <c r="F25" s="3"/>
      <c r="G25" s="3"/>
      <c r="H25" s="3"/>
      <c r="I25" s="3"/>
      <c r="J25" s="3"/>
      <c r="K25" s="3"/>
      <c r="L25" s="3"/>
      <c r="M25" s="3"/>
      <c r="N25" s="3"/>
    </row>
    <row r="26" spans="1:14" ht="14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4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4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4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4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4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4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4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4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4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4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4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4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4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sheetProtection algorithmName="SHA-512" hashValue="t5sAyq/A3zSE0buuumWW6CKxNo5rHunIEix/XPAPJHEOtJokX7kMFfmiu2RjZfGsDlU6BX6szOx+yfOUf/T5vQ==" saltValue="CZFpc4k6+5aiHVScoA+UXA==" spinCount="100000" sheet="1" objects="1" scenarios="1" formatCells="0" formatColumns="0" formatRows="0" sort="0" autoFilter="0" pivotTables="0"/>
  <mergeCells count="2">
    <mergeCell ref="A1:E1"/>
    <mergeCell ref="A2:E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workbookViewId="0">
      <selection activeCell="G9" sqref="G9"/>
    </sheetView>
  </sheetViews>
  <sheetFormatPr baseColWidth="10" defaultColWidth="8.796875" defaultRowHeight="13.8"/>
  <cols>
    <col min="1" max="1" width="26" customWidth="1"/>
    <col min="2" max="2" width="18" customWidth="1"/>
    <col min="3" max="3" width="22" customWidth="1"/>
    <col min="4" max="5" width="18" customWidth="1"/>
    <col min="6" max="6" width="20" customWidth="1"/>
    <col min="7" max="7" width="18" customWidth="1"/>
    <col min="8" max="8" width="16" customWidth="1"/>
    <col min="9" max="9" width="14" customWidth="1"/>
    <col min="10" max="10" width="42" customWidth="1"/>
  </cols>
  <sheetData>
    <row r="1" spans="1:14" ht="24" customHeight="1">
      <c r="A1" s="24" t="s">
        <v>138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1"/>
      <c r="M1" s="1"/>
      <c r="N1" s="1"/>
    </row>
    <row r="2" spans="1:14" ht="24" customHeight="1">
      <c r="A2" s="25" t="s">
        <v>139</v>
      </c>
      <c r="B2" s="25"/>
      <c r="C2" s="25"/>
      <c r="D2" s="25"/>
      <c r="E2" s="25"/>
      <c r="F2" s="25"/>
      <c r="G2" s="25"/>
      <c r="H2" s="25"/>
      <c r="I2" s="25"/>
      <c r="J2" s="25"/>
      <c r="K2" s="1"/>
      <c r="L2" s="1"/>
      <c r="M2" s="1"/>
      <c r="N2" s="1"/>
    </row>
    <row r="3" spans="1:14" ht="14.4">
      <c r="A3" s="26"/>
      <c r="B3" s="26"/>
      <c r="C3" s="26"/>
      <c r="D3" s="26"/>
      <c r="E3" s="26"/>
      <c r="F3" s="26"/>
      <c r="G3" s="26"/>
      <c r="H3" s="26"/>
      <c r="I3" s="26"/>
      <c r="J3" s="26"/>
      <c r="K3" s="1"/>
      <c r="L3" s="1"/>
      <c r="M3" s="1"/>
      <c r="N3" s="1"/>
    </row>
    <row r="4" spans="1:14" ht="14.4">
      <c r="A4" s="27" t="s">
        <v>140</v>
      </c>
      <c r="B4" s="27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  <c r="N4" s="1"/>
    </row>
    <row r="5" spans="1:14" ht="14.4">
      <c r="A5" s="27"/>
      <c r="B5" s="27"/>
      <c r="C5" s="27"/>
      <c r="D5" s="27"/>
      <c r="E5" s="27"/>
      <c r="F5" s="27"/>
      <c r="G5" s="27"/>
      <c r="H5" s="27"/>
      <c r="I5" s="27"/>
      <c r="J5" s="27"/>
      <c r="K5" s="1"/>
      <c r="L5" s="1"/>
      <c r="M5" s="1"/>
      <c r="N5" s="1"/>
    </row>
    <row r="6" spans="1:14" ht="14.4">
      <c r="A6" s="26"/>
      <c r="B6" s="26"/>
      <c r="C6" s="26"/>
      <c r="D6" s="26"/>
      <c r="E6" s="26"/>
      <c r="F6" s="26"/>
      <c r="G6" s="26"/>
      <c r="H6" s="26"/>
      <c r="I6" s="26"/>
      <c r="J6" s="26"/>
      <c r="K6" s="1"/>
      <c r="L6" s="1"/>
      <c r="M6" s="1"/>
      <c r="N6" s="1"/>
    </row>
    <row r="7" spans="1:14" ht="14.4">
      <c r="A7" s="26"/>
      <c r="B7" s="26"/>
      <c r="C7" s="26"/>
      <c r="D7" s="26"/>
      <c r="E7" s="26"/>
      <c r="F7" s="26"/>
      <c r="G7" s="26"/>
      <c r="H7" s="26"/>
      <c r="I7" s="26"/>
      <c r="J7" s="26"/>
      <c r="K7" s="1"/>
      <c r="L7" s="1"/>
      <c r="M7" s="1"/>
      <c r="N7" s="1"/>
    </row>
    <row r="8" spans="1:14" ht="28.8" customHeight="1">
      <c r="A8" s="28" t="s">
        <v>141</v>
      </c>
      <c r="B8" s="28" t="s">
        <v>142</v>
      </c>
      <c r="C8" s="28" t="s">
        <v>143</v>
      </c>
      <c r="D8" s="28" t="s">
        <v>68</v>
      </c>
      <c r="E8" s="28" t="s">
        <v>144</v>
      </c>
      <c r="F8" s="28" t="s">
        <v>145</v>
      </c>
      <c r="G8" s="28" t="s">
        <v>80</v>
      </c>
      <c r="H8" s="28" t="s">
        <v>84</v>
      </c>
      <c r="I8" s="28" t="s">
        <v>146</v>
      </c>
      <c r="J8" s="28" t="s">
        <v>147</v>
      </c>
      <c r="K8" s="1"/>
      <c r="L8" s="1"/>
      <c r="M8" s="1"/>
      <c r="N8" s="1"/>
    </row>
    <row r="9" spans="1:14" ht="27.6">
      <c r="A9" s="29" t="s">
        <v>148</v>
      </c>
      <c r="B9" s="29" t="s">
        <v>149</v>
      </c>
      <c r="C9" s="29" t="s">
        <v>150</v>
      </c>
      <c r="D9" s="30">
        <v>980</v>
      </c>
      <c r="E9" s="31">
        <v>180</v>
      </c>
      <c r="F9" s="31">
        <v>20</v>
      </c>
      <c r="G9" s="32">
        <f t="shared" ref="G9:G28" si="0">IF(A9="","",MAX(E9-F9,0))</f>
        <v>160</v>
      </c>
      <c r="H9" s="33">
        <f t="shared" ref="H9:H28" si="1">IFERROR(IF(A9="","",D9/G9),"")</f>
        <v>6.125</v>
      </c>
      <c r="I9" s="29" t="s">
        <v>151</v>
      </c>
      <c r="J9" s="29" t="s">
        <v>152</v>
      </c>
      <c r="K9" s="1"/>
      <c r="L9" s="1"/>
      <c r="M9" s="1"/>
      <c r="N9" s="1"/>
    </row>
    <row r="10" spans="1:14" ht="14.4">
      <c r="A10" s="29" t="s">
        <v>153</v>
      </c>
      <c r="B10" s="29" t="s">
        <v>149</v>
      </c>
      <c r="C10" s="29" t="s">
        <v>150</v>
      </c>
      <c r="D10" s="30">
        <v>720</v>
      </c>
      <c r="E10" s="31">
        <v>180</v>
      </c>
      <c r="F10" s="31">
        <v>20</v>
      </c>
      <c r="G10" s="32">
        <f t="shared" si="0"/>
        <v>160</v>
      </c>
      <c r="H10" s="33">
        <f t="shared" si="1"/>
        <v>4.5</v>
      </c>
      <c r="I10" s="29" t="s">
        <v>151</v>
      </c>
      <c r="J10" s="29" t="s">
        <v>154</v>
      </c>
      <c r="K10" s="1"/>
      <c r="L10" s="1"/>
      <c r="M10" s="1"/>
      <c r="N10" s="1"/>
    </row>
    <row r="11" spans="1:14" ht="14.4">
      <c r="A11" s="29" t="s">
        <v>155</v>
      </c>
      <c r="B11" s="29" t="s">
        <v>156</v>
      </c>
      <c r="C11" s="29" t="s">
        <v>150</v>
      </c>
      <c r="D11" s="30">
        <v>650</v>
      </c>
      <c r="E11" s="31">
        <v>180</v>
      </c>
      <c r="F11" s="31">
        <v>18</v>
      </c>
      <c r="G11" s="32">
        <f t="shared" si="0"/>
        <v>162</v>
      </c>
      <c r="H11" s="33">
        <f t="shared" si="1"/>
        <v>4.0123456790123457</v>
      </c>
      <c r="I11" s="29" t="s">
        <v>151</v>
      </c>
      <c r="J11" s="29" t="s">
        <v>157</v>
      </c>
      <c r="K11" s="1"/>
      <c r="L11" s="1"/>
      <c r="M11" s="1"/>
      <c r="N11" s="1"/>
    </row>
    <row r="12" spans="1:14" ht="14.4">
      <c r="A12" s="29" t="s">
        <v>158</v>
      </c>
      <c r="B12" s="29" t="s">
        <v>159</v>
      </c>
      <c r="C12" s="29" t="s">
        <v>160</v>
      </c>
      <c r="D12" s="30">
        <v>900</v>
      </c>
      <c r="E12" s="31">
        <v>180</v>
      </c>
      <c r="F12" s="31">
        <v>25</v>
      </c>
      <c r="G12" s="32">
        <f t="shared" si="0"/>
        <v>155</v>
      </c>
      <c r="H12" s="33">
        <f t="shared" si="1"/>
        <v>5.806451612903226</v>
      </c>
      <c r="I12" s="29" t="s">
        <v>151</v>
      </c>
      <c r="J12" s="29" t="s">
        <v>161</v>
      </c>
      <c r="K12" s="1"/>
      <c r="L12" s="1"/>
      <c r="M12" s="1"/>
      <c r="N12" s="1"/>
    </row>
    <row r="13" spans="1:14" ht="14.4">
      <c r="A13" s="29" t="s">
        <v>162</v>
      </c>
      <c r="B13" s="29" t="s">
        <v>159</v>
      </c>
      <c r="C13" s="29" t="s">
        <v>160</v>
      </c>
      <c r="D13" s="30">
        <v>520</v>
      </c>
      <c r="E13" s="31">
        <v>160</v>
      </c>
      <c r="F13" s="31">
        <v>20</v>
      </c>
      <c r="G13" s="32">
        <f t="shared" si="0"/>
        <v>140</v>
      </c>
      <c r="H13" s="33">
        <f t="shared" si="1"/>
        <v>3.7142857142857144</v>
      </c>
      <c r="I13" s="29" t="s">
        <v>151</v>
      </c>
      <c r="J13" s="29" t="s">
        <v>163</v>
      </c>
      <c r="K13" s="1"/>
      <c r="L13" s="1"/>
      <c r="M13" s="1"/>
      <c r="N13" s="1"/>
    </row>
    <row r="14" spans="1:14" ht="14.4">
      <c r="A14" s="29"/>
      <c r="B14" s="29"/>
      <c r="C14" s="29"/>
      <c r="D14" s="30"/>
      <c r="E14" s="31"/>
      <c r="F14" s="31"/>
      <c r="G14" s="32" t="str">
        <f t="shared" si="0"/>
        <v/>
      </c>
      <c r="H14" s="33" t="str">
        <f t="shared" si="1"/>
        <v/>
      </c>
      <c r="I14" s="29"/>
      <c r="J14" s="29"/>
      <c r="K14" s="1"/>
      <c r="L14" s="1"/>
      <c r="M14" s="1"/>
      <c r="N14" s="1"/>
    </row>
    <row r="15" spans="1:14" ht="14.4">
      <c r="A15" s="29"/>
      <c r="B15" s="29"/>
      <c r="C15" s="29"/>
      <c r="D15" s="30"/>
      <c r="E15" s="31"/>
      <c r="F15" s="31"/>
      <c r="G15" s="32" t="str">
        <f t="shared" si="0"/>
        <v/>
      </c>
      <c r="H15" s="33" t="str">
        <f t="shared" si="1"/>
        <v/>
      </c>
      <c r="I15" s="29"/>
      <c r="J15" s="29"/>
      <c r="K15" s="1"/>
      <c r="L15" s="1"/>
      <c r="M15" s="1"/>
      <c r="N15" s="1"/>
    </row>
    <row r="16" spans="1:14" ht="14.4">
      <c r="A16" s="29"/>
      <c r="B16" s="29"/>
      <c r="C16" s="29"/>
      <c r="D16" s="30"/>
      <c r="E16" s="31"/>
      <c r="F16" s="31"/>
      <c r="G16" s="32" t="str">
        <f t="shared" si="0"/>
        <v/>
      </c>
      <c r="H16" s="33" t="str">
        <f t="shared" si="1"/>
        <v/>
      </c>
      <c r="I16" s="29"/>
      <c r="J16" s="29"/>
      <c r="K16" s="1"/>
      <c r="L16" s="1"/>
      <c r="M16" s="1"/>
      <c r="N16" s="1"/>
    </row>
    <row r="17" spans="1:14" ht="14.4">
      <c r="A17" s="29"/>
      <c r="B17" s="29"/>
      <c r="C17" s="29"/>
      <c r="D17" s="30"/>
      <c r="E17" s="31"/>
      <c r="F17" s="31"/>
      <c r="G17" s="32" t="str">
        <f t="shared" si="0"/>
        <v/>
      </c>
      <c r="H17" s="33" t="str">
        <f t="shared" si="1"/>
        <v/>
      </c>
      <c r="I17" s="29"/>
      <c r="J17" s="29"/>
      <c r="K17" s="1"/>
      <c r="L17" s="1"/>
      <c r="M17" s="1"/>
      <c r="N17" s="1"/>
    </row>
    <row r="18" spans="1:14" ht="14.4">
      <c r="A18" s="29"/>
      <c r="B18" s="29"/>
      <c r="C18" s="29"/>
      <c r="D18" s="30"/>
      <c r="E18" s="31"/>
      <c r="F18" s="31"/>
      <c r="G18" s="32" t="str">
        <f t="shared" si="0"/>
        <v/>
      </c>
      <c r="H18" s="33" t="str">
        <f t="shared" si="1"/>
        <v/>
      </c>
      <c r="I18" s="29"/>
      <c r="J18" s="29"/>
      <c r="K18" s="1"/>
      <c r="L18" s="1"/>
      <c r="M18" s="1"/>
      <c r="N18" s="1"/>
    </row>
    <row r="19" spans="1:14" ht="14.4">
      <c r="A19" s="29"/>
      <c r="B19" s="29"/>
      <c r="C19" s="29"/>
      <c r="D19" s="30"/>
      <c r="E19" s="31"/>
      <c r="F19" s="31"/>
      <c r="G19" s="32" t="str">
        <f t="shared" si="0"/>
        <v/>
      </c>
      <c r="H19" s="33" t="str">
        <f t="shared" si="1"/>
        <v/>
      </c>
      <c r="I19" s="29"/>
      <c r="J19" s="29"/>
      <c r="K19" s="1"/>
      <c r="L19" s="1"/>
      <c r="M19" s="1"/>
      <c r="N19" s="1"/>
    </row>
    <row r="20" spans="1:14" ht="14.4">
      <c r="A20" s="29"/>
      <c r="B20" s="29"/>
      <c r="C20" s="29"/>
      <c r="D20" s="30"/>
      <c r="E20" s="31"/>
      <c r="F20" s="31"/>
      <c r="G20" s="32" t="str">
        <f t="shared" si="0"/>
        <v/>
      </c>
      <c r="H20" s="33" t="str">
        <f t="shared" si="1"/>
        <v/>
      </c>
      <c r="I20" s="29"/>
      <c r="J20" s="29"/>
      <c r="K20" s="1"/>
      <c r="L20" s="1"/>
      <c r="M20" s="1"/>
      <c r="N20" s="1"/>
    </row>
    <row r="21" spans="1:14" ht="14.4">
      <c r="A21" s="29"/>
      <c r="B21" s="29"/>
      <c r="C21" s="29"/>
      <c r="D21" s="30"/>
      <c r="E21" s="31"/>
      <c r="F21" s="31"/>
      <c r="G21" s="32" t="str">
        <f t="shared" si="0"/>
        <v/>
      </c>
      <c r="H21" s="33" t="str">
        <f t="shared" si="1"/>
        <v/>
      </c>
      <c r="I21" s="29"/>
      <c r="J21" s="29"/>
      <c r="K21" s="1"/>
      <c r="L21" s="1"/>
      <c r="M21" s="1"/>
      <c r="N21" s="1"/>
    </row>
    <row r="22" spans="1:14" ht="14.4">
      <c r="A22" s="29"/>
      <c r="B22" s="29"/>
      <c r="C22" s="29"/>
      <c r="D22" s="30"/>
      <c r="E22" s="31"/>
      <c r="F22" s="31"/>
      <c r="G22" s="32" t="str">
        <f t="shared" si="0"/>
        <v/>
      </c>
      <c r="H22" s="33" t="str">
        <f t="shared" si="1"/>
        <v/>
      </c>
      <c r="I22" s="29"/>
      <c r="J22" s="29"/>
      <c r="K22" s="1"/>
      <c r="L22" s="1"/>
      <c r="M22" s="1"/>
      <c r="N22" s="1"/>
    </row>
    <row r="23" spans="1:14" ht="14.4">
      <c r="A23" s="29"/>
      <c r="B23" s="29"/>
      <c r="C23" s="29"/>
      <c r="D23" s="30"/>
      <c r="E23" s="31"/>
      <c r="F23" s="31"/>
      <c r="G23" s="32" t="str">
        <f t="shared" si="0"/>
        <v/>
      </c>
      <c r="H23" s="33" t="str">
        <f t="shared" si="1"/>
        <v/>
      </c>
      <c r="I23" s="29"/>
      <c r="J23" s="29"/>
      <c r="K23" s="1"/>
      <c r="L23" s="1"/>
      <c r="M23" s="1"/>
      <c r="N23" s="1"/>
    </row>
    <row r="24" spans="1:14" ht="14.4">
      <c r="A24" s="29"/>
      <c r="B24" s="29"/>
      <c r="C24" s="29"/>
      <c r="D24" s="30"/>
      <c r="E24" s="31"/>
      <c r="F24" s="31"/>
      <c r="G24" s="32" t="str">
        <f t="shared" si="0"/>
        <v/>
      </c>
      <c r="H24" s="33" t="str">
        <f t="shared" si="1"/>
        <v/>
      </c>
      <c r="I24" s="29"/>
      <c r="J24" s="29"/>
      <c r="K24" s="1"/>
      <c r="L24" s="1"/>
      <c r="M24" s="1"/>
      <c r="N24" s="1"/>
    </row>
    <row r="25" spans="1:14" ht="14.4">
      <c r="A25" s="29"/>
      <c r="B25" s="29"/>
      <c r="C25" s="29"/>
      <c r="D25" s="30"/>
      <c r="E25" s="31"/>
      <c r="F25" s="31"/>
      <c r="G25" s="32" t="str">
        <f t="shared" si="0"/>
        <v/>
      </c>
      <c r="H25" s="33" t="str">
        <f t="shared" si="1"/>
        <v/>
      </c>
      <c r="I25" s="29"/>
      <c r="J25" s="29"/>
      <c r="K25" s="1"/>
      <c r="L25" s="1"/>
      <c r="M25" s="1"/>
      <c r="N25" s="1"/>
    </row>
    <row r="26" spans="1:14" ht="14.4">
      <c r="A26" s="29"/>
      <c r="B26" s="29"/>
      <c r="C26" s="29"/>
      <c r="D26" s="30"/>
      <c r="E26" s="31"/>
      <c r="F26" s="31"/>
      <c r="G26" s="32" t="str">
        <f t="shared" si="0"/>
        <v/>
      </c>
      <c r="H26" s="33" t="str">
        <f t="shared" si="1"/>
        <v/>
      </c>
      <c r="I26" s="29"/>
      <c r="J26" s="29"/>
      <c r="K26" s="1"/>
      <c r="L26" s="1"/>
      <c r="M26" s="1"/>
      <c r="N26" s="1"/>
    </row>
    <row r="27" spans="1:14" ht="14.4">
      <c r="A27" s="29"/>
      <c r="B27" s="29"/>
      <c r="C27" s="29"/>
      <c r="D27" s="30"/>
      <c r="E27" s="31"/>
      <c r="F27" s="31"/>
      <c r="G27" s="32" t="str">
        <f t="shared" si="0"/>
        <v/>
      </c>
      <c r="H27" s="33" t="str">
        <f t="shared" si="1"/>
        <v/>
      </c>
      <c r="I27" s="29"/>
      <c r="J27" s="29"/>
      <c r="K27" s="1"/>
      <c r="L27" s="1"/>
      <c r="M27" s="1"/>
      <c r="N27" s="1"/>
    </row>
    <row r="28" spans="1:14" ht="14.4">
      <c r="A28" s="29"/>
      <c r="B28" s="29"/>
      <c r="C28" s="29"/>
      <c r="D28" s="30"/>
      <c r="E28" s="31"/>
      <c r="F28" s="31"/>
      <c r="G28" s="32" t="str">
        <f t="shared" si="0"/>
        <v/>
      </c>
      <c r="H28" s="33" t="str">
        <f t="shared" si="1"/>
        <v/>
      </c>
      <c r="I28" s="29"/>
      <c r="J28" s="29"/>
      <c r="K28" s="1"/>
      <c r="L28" s="1"/>
      <c r="M28" s="1"/>
      <c r="N28" s="1"/>
    </row>
    <row r="29" spans="1:14" ht="14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1"/>
      <c r="L29" s="1"/>
      <c r="M29" s="1"/>
      <c r="N29" s="1"/>
    </row>
    <row r="30" spans="1:14" ht="14.4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1"/>
      <c r="L30" s="1"/>
      <c r="M30" s="1"/>
      <c r="N30" s="1"/>
    </row>
    <row r="31" spans="1:14" ht="14.4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1"/>
      <c r="L31" s="1"/>
      <c r="M31" s="1"/>
      <c r="N31" s="1"/>
    </row>
    <row r="32" spans="1:14" ht="14.4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1"/>
      <c r="L32" s="1"/>
      <c r="M32" s="1"/>
      <c r="N32" s="1"/>
    </row>
    <row r="33" spans="1:14" ht="14.4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1"/>
      <c r="L33" s="1"/>
      <c r="M33" s="1"/>
      <c r="N33" s="1"/>
    </row>
    <row r="34" spans="1:14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sheetProtection algorithmName="SHA-512" hashValue="WD66Rh0Qidbfo4RPS2M62jWeRfRovWW3eiw1AT1bSzZNESSZO075fgZelUl+ZPjMguRBEazVOZ/mySi6r8pAbA==" saltValue="W3WgoAdt+wWkjsYchKTBgA==" spinCount="100000" sheet="1" objects="1" scenarios="1" formatCells="0" formatColumns="0" formatRows="0" insertColumns="0" sort="0" autoFilter="0" pivotTables="0"/>
  <mergeCells count="3">
    <mergeCell ref="A1:J1"/>
    <mergeCell ref="A2:J2"/>
    <mergeCell ref="A4:J5"/>
  </mergeCells>
  <dataValidations count="2">
    <dataValidation type="list" sqref="C9:C28" xr:uid="{00000000-0002-0000-0200-000000000000}">
      <formula1>"Directa,Indirecta"</formula1>
    </dataValidation>
    <dataValidation type="list" sqref="I9:I28" xr:uid="{00000000-0002-0000-0200-000001000000}">
      <formula1>"Activo,Inactivo"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0"/>
  <sheetViews>
    <sheetView workbookViewId="0">
      <selection activeCell="H14" sqref="H14"/>
    </sheetView>
  </sheetViews>
  <sheetFormatPr baseColWidth="10" defaultColWidth="8.796875" defaultRowHeight="13.8"/>
  <cols>
    <col min="1" max="1" width="28" customWidth="1"/>
    <col min="2" max="2" width="16" customWidth="1"/>
    <col min="3" max="3" width="18" customWidth="1"/>
    <col min="4" max="4" width="24" customWidth="1"/>
    <col min="5" max="6" width="16" customWidth="1"/>
    <col min="7" max="7" width="15" customWidth="1"/>
    <col min="8" max="11" width="18" customWidth="1"/>
    <col min="12" max="12" width="16" customWidth="1"/>
    <col min="13" max="13" width="15" customWidth="1"/>
    <col min="14" max="14" width="42" customWidth="1"/>
  </cols>
  <sheetData>
    <row r="1" spans="1:14" ht="24" customHeight="1">
      <c r="A1" s="24" t="s">
        <v>164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4" customHeight="1">
      <c r="A2" s="25" t="s">
        <v>165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4.4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>
      <c r="A4" s="27" t="s">
        <v>166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8.8" customHeight="1">
      <c r="A8" s="28" t="s">
        <v>167</v>
      </c>
      <c r="B8" s="28" t="s">
        <v>142</v>
      </c>
      <c r="C8" s="28" t="s">
        <v>168</v>
      </c>
      <c r="D8" s="28" t="s">
        <v>169</v>
      </c>
      <c r="E8" s="28" t="s">
        <v>170</v>
      </c>
      <c r="F8" s="28" t="s">
        <v>89</v>
      </c>
      <c r="G8" s="28" t="s">
        <v>84</v>
      </c>
      <c r="H8" s="28" t="s">
        <v>171</v>
      </c>
      <c r="I8" s="28" t="s">
        <v>172</v>
      </c>
      <c r="J8" s="28" t="s">
        <v>173</v>
      </c>
      <c r="K8" s="28" t="s">
        <v>174</v>
      </c>
      <c r="L8" s="28" t="s">
        <v>175</v>
      </c>
      <c r="M8" s="28" t="s">
        <v>125</v>
      </c>
      <c r="N8" s="28" t="s">
        <v>147</v>
      </c>
    </row>
    <row r="9" spans="1:14" ht="27.6">
      <c r="A9" s="29" t="s">
        <v>176</v>
      </c>
      <c r="B9" s="29" t="s">
        <v>149</v>
      </c>
      <c r="C9" s="29" t="s">
        <v>150</v>
      </c>
      <c r="D9" s="29" t="s">
        <v>148</v>
      </c>
      <c r="E9" s="31">
        <v>500</v>
      </c>
      <c r="F9" s="31">
        <v>0.1</v>
      </c>
      <c r="G9" s="33">
        <f>IF(D9="","",IFERROR(VLOOKUP(D9,'3_Datos_base'!$A$9:$H$28,8,FALSE),""))</f>
        <v>6.125</v>
      </c>
      <c r="H9" s="33">
        <f>IF(A9="","",F9*G9)</f>
        <v>0.61250000000000004</v>
      </c>
      <c r="I9" s="33">
        <f>IF(A9="","",E9*H9)</f>
        <v>306.25</v>
      </c>
      <c r="J9" s="30">
        <v>2.2000000000000002</v>
      </c>
      <c r="K9" s="34">
        <f>IF(A9="","",E9*J9)</f>
        <v>1100</v>
      </c>
      <c r="L9" s="35">
        <f>IFERROR(IF(A9="","",IF(K9=0,"",I9/K9)),"")</f>
        <v>0.27840909090909088</v>
      </c>
      <c r="M9" s="36" t="str">
        <f t="shared" ref="M9:M28" si="0">IF(A9="","",IF(L9="","Sin ventas",IF(L9&gt;0.35,"Revisar",IF(L9&gt;0.25,"Cuidar","OK"))))</f>
        <v>Cuidar</v>
      </c>
      <c r="N9" s="29" t="s">
        <v>177</v>
      </c>
    </row>
    <row r="10" spans="1:14" ht="27.6">
      <c r="A10" s="29" t="s">
        <v>178</v>
      </c>
      <c r="B10" s="29" t="s">
        <v>149</v>
      </c>
      <c r="C10" s="29" t="s">
        <v>150</v>
      </c>
      <c r="D10" s="29" t="s">
        <v>148</v>
      </c>
      <c r="E10" s="31">
        <v>80</v>
      </c>
      <c r="F10" s="31">
        <v>0.6</v>
      </c>
      <c r="G10" s="33">
        <f>IF(D10="","",IFERROR(VLOOKUP(D10,'3_Datos_base'!$A$9:$H$28,8,FALSE),""))</f>
        <v>6.125</v>
      </c>
      <c r="H10" s="33">
        <f t="shared" ref="H10:H28" si="1">IF(A10="","",F10*G10)</f>
        <v>3.6749999999999998</v>
      </c>
      <c r="I10" s="33">
        <f t="shared" ref="I10:I28" si="2">IF(A10="","",E10*H10)</f>
        <v>294</v>
      </c>
      <c r="J10" s="30">
        <v>18</v>
      </c>
      <c r="K10" s="34">
        <f t="shared" ref="K10:K28" si="3">IF(A10="","",E10*J10)</f>
        <v>1440</v>
      </c>
      <c r="L10" s="35">
        <f t="shared" ref="L10:L28" si="4">IFERROR(IF(A10="","",IF(K10=0,"",I10/K10)),"")</f>
        <v>0.20416666666666666</v>
      </c>
      <c r="M10" s="36" t="str">
        <f t="shared" si="0"/>
        <v>OK</v>
      </c>
      <c r="N10" s="29" t="s">
        <v>179</v>
      </c>
    </row>
    <row r="11" spans="1:14" ht="27.6">
      <c r="A11" s="29" t="s">
        <v>180</v>
      </c>
      <c r="B11" s="29" t="s">
        <v>156</v>
      </c>
      <c r="C11" s="29" t="s">
        <v>150</v>
      </c>
      <c r="D11" s="29" t="s">
        <v>155</v>
      </c>
      <c r="E11" s="31">
        <v>300</v>
      </c>
      <c r="F11" s="31">
        <v>0.15</v>
      </c>
      <c r="G11" s="33">
        <f>IF(D11="","",IFERROR(VLOOKUP(D11,'3_Datos_base'!$A$9:$H$28,8,FALSE),""))</f>
        <v>4.0123456790123457</v>
      </c>
      <c r="H11" s="33">
        <f t="shared" si="1"/>
        <v>0.60185185185185186</v>
      </c>
      <c r="I11" s="33">
        <f t="shared" si="2"/>
        <v>180.55555555555557</v>
      </c>
      <c r="J11" s="30">
        <v>12</v>
      </c>
      <c r="K11" s="34">
        <f t="shared" si="3"/>
        <v>3600</v>
      </c>
      <c r="L11" s="35">
        <f t="shared" si="4"/>
        <v>5.0154320987654329E-2</v>
      </c>
      <c r="M11" s="36" t="str">
        <f t="shared" si="0"/>
        <v>OK</v>
      </c>
      <c r="N11" s="29" t="s">
        <v>181</v>
      </c>
    </row>
    <row r="12" spans="1:14">
      <c r="A12" s="29" t="s">
        <v>182</v>
      </c>
      <c r="B12" s="29" t="s">
        <v>149</v>
      </c>
      <c r="C12" s="29" t="s">
        <v>150</v>
      </c>
      <c r="D12" s="29" t="s">
        <v>153</v>
      </c>
      <c r="E12" s="31">
        <v>120</v>
      </c>
      <c r="F12" s="31">
        <v>0.35</v>
      </c>
      <c r="G12" s="33">
        <f>IF(D12="","",IFERROR(VLOOKUP(D12,'3_Datos_base'!$A$9:$H$28,8,FALSE),""))</f>
        <v>4.5</v>
      </c>
      <c r="H12" s="33">
        <f t="shared" si="1"/>
        <v>1.575</v>
      </c>
      <c r="I12" s="33">
        <f t="shared" si="2"/>
        <v>189</v>
      </c>
      <c r="J12" s="30">
        <v>9.5</v>
      </c>
      <c r="K12" s="34">
        <f t="shared" si="3"/>
        <v>1140</v>
      </c>
      <c r="L12" s="35">
        <f t="shared" si="4"/>
        <v>0.16578947368421051</v>
      </c>
      <c r="M12" s="36" t="str">
        <f t="shared" si="0"/>
        <v>OK</v>
      </c>
      <c r="N12" s="29" t="s">
        <v>183</v>
      </c>
    </row>
    <row r="13" spans="1:14" ht="27.6">
      <c r="A13" s="29" t="s">
        <v>184</v>
      </c>
      <c r="B13" s="29" t="s">
        <v>159</v>
      </c>
      <c r="C13" s="29" t="s">
        <v>160</v>
      </c>
      <c r="D13" s="29" t="s">
        <v>162</v>
      </c>
      <c r="E13" s="31">
        <v>26</v>
      </c>
      <c r="F13" s="31">
        <v>1.5</v>
      </c>
      <c r="G13" s="33">
        <f>IF(D13="","",IFERROR(VLOOKUP(D13,'3_Datos_base'!$A$9:$H$28,8,FALSE),""))</f>
        <v>3.7142857142857144</v>
      </c>
      <c r="H13" s="33">
        <f t="shared" si="1"/>
        <v>5.5714285714285712</v>
      </c>
      <c r="I13" s="33">
        <f t="shared" si="2"/>
        <v>144.85714285714286</v>
      </c>
      <c r="J13" s="30">
        <v>0</v>
      </c>
      <c r="K13" s="34">
        <f t="shared" si="3"/>
        <v>0</v>
      </c>
      <c r="L13" s="35" t="str">
        <f t="shared" si="4"/>
        <v/>
      </c>
      <c r="M13" s="36" t="str">
        <f t="shared" si="0"/>
        <v>Sin ventas</v>
      </c>
      <c r="N13" s="29" t="s">
        <v>185</v>
      </c>
    </row>
    <row r="14" spans="1:14">
      <c r="A14" s="29"/>
      <c r="B14" s="29"/>
      <c r="C14" s="29"/>
      <c r="D14" s="29"/>
      <c r="E14" s="31"/>
      <c r="F14" s="31"/>
      <c r="G14" s="33" t="str">
        <f>IF(D14="","",IFERROR(VLOOKUP(D14,'3_Datos_base'!$A$9:$H$28,8,FALSE),""))</f>
        <v/>
      </c>
      <c r="H14" s="33" t="str">
        <f t="shared" si="1"/>
        <v/>
      </c>
      <c r="I14" s="33" t="str">
        <f t="shared" si="2"/>
        <v/>
      </c>
      <c r="J14" s="30"/>
      <c r="K14" s="34" t="str">
        <f t="shared" si="3"/>
        <v/>
      </c>
      <c r="L14" s="35" t="str">
        <f t="shared" si="4"/>
        <v/>
      </c>
      <c r="M14" s="36" t="str">
        <f t="shared" si="0"/>
        <v/>
      </c>
      <c r="N14" s="29"/>
    </row>
    <row r="15" spans="1:14">
      <c r="A15" s="29"/>
      <c r="B15" s="29"/>
      <c r="C15" s="29"/>
      <c r="D15" s="29"/>
      <c r="E15" s="31"/>
      <c r="F15" s="31"/>
      <c r="G15" s="33" t="str">
        <f>IF(D15="","",IFERROR(VLOOKUP(D15,'3_Datos_base'!$A$9:$H$28,8,FALSE),""))</f>
        <v/>
      </c>
      <c r="H15" s="33" t="str">
        <f t="shared" si="1"/>
        <v/>
      </c>
      <c r="I15" s="33" t="str">
        <f t="shared" si="2"/>
        <v/>
      </c>
      <c r="J15" s="30"/>
      <c r="K15" s="34" t="str">
        <f t="shared" si="3"/>
        <v/>
      </c>
      <c r="L15" s="35" t="str">
        <f t="shared" si="4"/>
        <v/>
      </c>
      <c r="M15" s="36" t="str">
        <f t="shared" si="0"/>
        <v/>
      </c>
      <c r="N15" s="29"/>
    </row>
    <row r="16" spans="1:14">
      <c r="A16" s="29"/>
      <c r="B16" s="29"/>
      <c r="C16" s="29"/>
      <c r="D16" s="29"/>
      <c r="E16" s="31"/>
      <c r="F16" s="31"/>
      <c r="G16" s="33" t="str">
        <f>IF(D16="","",IFERROR(VLOOKUP(D16,'3_Datos_base'!$A$9:$H$28,8,FALSE),""))</f>
        <v/>
      </c>
      <c r="H16" s="33" t="str">
        <f t="shared" si="1"/>
        <v/>
      </c>
      <c r="I16" s="33" t="str">
        <f t="shared" si="2"/>
        <v/>
      </c>
      <c r="J16" s="30"/>
      <c r="K16" s="34" t="str">
        <f t="shared" si="3"/>
        <v/>
      </c>
      <c r="L16" s="35" t="str">
        <f t="shared" si="4"/>
        <v/>
      </c>
      <c r="M16" s="36" t="str">
        <f t="shared" si="0"/>
        <v/>
      </c>
      <c r="N16" s="29"/>
    </row>
    <row r="17" spans="1:14">
      <c r="A17" s="29"/>
      <c r="B17" s="29"/>
      <c r="C17" s="29"/>
      <c r="D17" s="29"/>
      <c r="E17" s="31"/>
      <c r="F17" s="31"/>
      <c r="G17" s="33" t="str">
        <f>IF(D17="","",IFERROR(VLOOKUP(D17,'3_Datos_base'!$A$9:$H$28,8,FALSE),""))</f>
        <v/>
      </c>
      <c r="H17" s="33" t="str">
        <f t="shared" si="1"/>
        <v/>
      </c>
      <c r="I17" s="33" t="str">
        <f t="shared" si="2"/>
        <v/>
      </c>
      <c r="J17" s="30"/>
      <c r="K17" s="34" t="str">
        <f t="shared" si="3"/>
        <v/>
      </c>
      <c r="L17" s="35" t="str">
        <f t="shared" si="4"/>
        <v/>
      </c>
      <c r="M17" s="36" t="str">
        <f t="shared" si="0"/>
        <v/>
      </c>
      <c r="N17" s="29"/>
    </row>
    <row r="18" spans="1:14">
      <c r="A18" s="29"/>
      <c r="B18" s="29"/>
      <c r="C18" s="29"/>
      <c r="D18" s="29"/>
      <c r="E18" s="31"/>
      <c r="F18" s="31"/>
      <c r="G18" s="33" t="str">
        <f>IF(D18="","",IFERROR(VLOOKUP(D18,'3_Datos_base'!$A$9:$H$28,8,FALSE),""))</f>
        <v/>
      </c>
      <c r="H18" s="33" t="str">
        <f t="shared" si="1"/>
        <v/>
      </c>
      <c r="I18" s="33" t="str">
        <f t="shared" si="2"/>
        <v/>
      </c>
      <c r="J18" s="30"/>
      <c r="K18" s="34" t="str">
        <f t="shared" si="3"/>
        <v/>
      </c>
      <c r="L18" s="35" t="str">
        <f t="shared" si="4"/>
        <v/>
      </c>
      <c r="M18" s="36" t="str">
        <f t="shared" si="0"/>
        <v/>
      </c>
      <c r="N18" s="29"/>
    </row>
    <row r="19" spans="1:14">
      <c r="A19" s="29"/>
      <c r="B19" s="29"/>
      <c r="C19" s="29"/>
      <c r="D19" s="29"/>
      <c r="E19" s="31"/>
      <c r="F19" s="31"/>
      <c r="G19" s="33" t="str">
        <f>IF(D19="","",IFERROR(VLOOKUP(D19,'3_Datos_base'!$A$9:$H$28,8,FALSE),""))</f>
        <v/>
      </c>
      <c r="H19" s="33" t="str">
        <f t="shared" si="1"/>
        <v/>
      </c>
      <c r="I19" s="33" t="str">
        <f t="shared" si="2"/>
        <v/>
      </c>
      <c r="J19" s="30"/>
      <c r="K19" s="34" t="str">
        <f t="shared" si="3"/>
        <v/>
      </c>
      <c r="L19" s="35" t="str">
        <f t="shared" si="4"/>
        <v/>
      </c>
      <c r="M19" s="36" t="str">
        <f t="shared" si="0"/>
        <v/>
      </c>
      <c r="N19" s="29"/>
    </row>
    <row r="20" spans="1:14">
      <c r="A20" s="29"/>
      <c r="B20" s="29"/>
      <c r="C20" s="29"/>
      <c r="D20" s="29"/>
      <c r="E20" s="31"/>
      <c r="F20" s="31"/>
      <c r="G20" s="33" t="str">
        <f>IF(D20="","",IFERROR(VLOOKUP(D20,'3_Datos_base'!$A$9:$H$28,8,FALSE),""))</f>
        <v/>
      </c>
      <c r="H20" s="33" t="str">
        <f t="shared" si="1"/>
        <v/>
      </c>
      <c r="I20" s="33" t="str">
        <f t="shared" si="2"/>
        <v/>
      </c>
      <c r="J20" s="30"/>
      <c r="K20" s="34" t="str">
        <f t="shared" si="3"/>
        <v/>
      </c>
      <c r="L20" s="35" t="str">
        <f t="shared" si="4"/>
        <v/>
      </c>
      <c r="M20" s="36" t="str">
        <f t="shared" si="0"/>
        <v/>
      </c>
      <c r="N20" s="29"/>
    </row>
    <row r="21" spans="1:14">
      <c r="A21" s="29"/>
      <c r="B21" s="29"/>
      <c r="C21" s="29"/>
      <c r="D21" s="29"/>
      <c r="E21" s="31"/>
      <c r="F21" s="31"/>
      <c r="G21" s="33" t="str">
        <f>IF(D21="","",IFERROR(VLOOKUP(D21,'3_Datos_base'!$A$9:$H$28,8,FALSE),""))</f>
        <v/>
      </c>
      <c r="H21" s="33" t="str">
        <f t="shared" si="1"/>
        <v/>
      </c>
      <c r="I21" s="33" t="str">
        <f t="shared" si="2"/>
        <v/>
      </c>
      <c r="J21" s="30"/>
      <c r="K21" s="34" t="str">
        <f t="shared" si="3"/>
        <v/>
      </c>
      <c r="L21" s="35" t="str">
        <f t="shared" si="4"/>
        <v/>
      </c>
      <c r="M21" s="36" t="str">
        <f t="shared" si="0"/>
        <v/>
      </c>
      <c r="N21" s="29"/>
    </row>
    <row r="22" spans="1:14">
      <c r="A22" s="29"/>
      <c r="B22" s="29"/>
      <c r="C22" s="29"/>
      <c r="D22" s="29"/>
      <c r="E22" s="31"/>
      <c r="F22" s="31"/>
      <c r="G22" s="33" t="str">
        <f>IF(D22="","",IFERROR(VLOOKUP(D22,'3_Datos_base'!$A$9:$H$28,8,FALSE),""))</f>
        <v/>
      </c>
      <c r="H22" s="33" t="str">
        <f t="shared" si="1"/>
        <v/>
      </c>
      <c r="I22" s="33" t="str">
        <f t="shared" si="2"/>
        <v/>
      </c>
      <c r="J22" s="30"/>
      <c r="K22" s="34" t="str">
        <f t="shared" si="3"/>
        <v/>
      </c>
      <c r="L22" s="35" t="str">
        <f t="shared" si="4"/>
        <v/>
      </c>
      <c r="M22" s="36" t="str">
        <f t="shared" si="0"/>
        <v/>
      </c>
      <c r="N22" s="29"/>
    </row>
    <row r="23" spans="1:14">
      <c r="A23" s="29"/>
      <c r="B23" s="29"/>
      <c r="C23" s="29"/>
      <c r="D23" s="29"/>
      <c r="E23" s="31"/>
      <c r="F23" s="31"/>
      <c r="G23" s="33" t="str">
        <f>IF(D23="","",IFERROR(VLOOKUP(D23,'3_Datos_base'!$A$9:$H$28,8,FALSE),""))</f>
        <v/>
      </c>
      <c r="H23" s="33" t="str">
        <f t="shared" si="1"/>
        <v/>
      </c>
      <c r="I23" s="33" t="str">
        <f t="shared" si="2"/>
        <v/>
      </c>
      <c r="J23" s="30"/>
      <c r="K23" s="34" t="str">
        <f t="shared" si="3"/>
        <v/>
      </c>
      <c r="L23" s="35" t="str">
        <f t="shared" si="4"/>
        <v/>
      </c>
      <c r="M23" s="36" t="str">
        <f t="shared" si="0"/>
        <v/>
      </c>
      <c r="N23" s="29"/>
    </row>
    <row r="24" spans="1:14">
      <c r="A24" s="29"/>
      <c r="B24" s="29"/>
      <c r="C24" s="29"/>
      <c r="D24" s="29"/>
      <c r="E24" s="31"/>
      <c r="F24" s="31"/>
      <c r="G24" s="33" t="str">
        <f>IF(D24="","",IFERROR(VLOOKUP(D24,'3_Datos_base'!$A$9:$H$28,8,FALSE),""))</f>
        <v/>
      </c>
      <c r="H24" s="33" t="str">
        <f t="shared" si="1"/>
        <v/>
      </c>
      <c r="I24" s="33" t="str">
        <f t="shared" si="2"/>
        <v/>
      </c>
      <c r="J24" s="30"/>
      <c r="K24" s="34" t="str">
        <f t="shared" si="3"/>
        <v/>
      </c>
      <c r="L24" s="35" t="str">
        <f t="shared" si="4"/>
        <v/>
      </c>
      <c r="M24" s="36" t="str">
        <f t="shared" si="0"/>
        <v/>
      </c>
      <c r="N24" s="29"/>
    </row>
    <row r="25" spans="1:14">
      <c r="A25" s="29"/>
      <c r="B25" s="29"/>
      <c r="C25" s="29"/>
      <c r="D25" s="29"/>
      <c r="E25" s="31"/>
      <c r="F25" s="31"/>
      <c r="G25" s="33" t="str">
        <f>IF(D25="","",IFERROR(VLOOKUP(D25,'3_Datos_base'!$A$9:$H$28,8,FALSE),""))</f>
        <v/>
      </c>
      <c r="H25" s="33" t="str">
        <f t="shared" si="1"/>
        <v/>
      </c>
      <c r="I25" s="33" t="str">
        <f t="shared" si="2"/>
        <v/>
      </c>
      <c r="J25" s="30"/>
      <c r="K25" s="34" t="str">
        <f t="shared" si="3"/>
        <v/>
      </c>
      <c r="L25" s="35" t="str">
        <f t="shared" si="4"/>
        <v/>
      </c>
      <c r="M25" s="36" t="str">
        <f t="shared" si="0"/>
        <v/>
      </c>
      <c r="N25" s="29"/>
    </row>
    <row r="26" spans="1:14">
      <c r="A26" s="29"/>
      <c r="B26" s="29"/>
      <c r="C26" s="29"/>
      <c r="D26" s="29"/>
      <c r="E26" s="31"/>
      <c r="F26" s="31"/>
      <c r="G26" s="33" t="str">
        <f>IF(D26="","",IFERROR(VLOOKUP(D26,'3_Datos_base'!$A$9:$H$28,8,FALSE),""))</f>
        <v/>
      </c>
      <c r="H26" s="33" t="str">
        <f t="shared" si="1"/>
        <v/>
      </c>
      <c r="I26" s="33" t="str">
        <f t="shared" si="2"/>
        <v/>
      </c>
      <c r="J26" s="30"/>
      <c r="K26" s="34" t="str">
        <f t="shared" si="3"/>
        <v/>
      </c>
      <c r="L26" s="35" t="str">
        <f t="shared" si="4"/>
        <v/>
      </c>
      <c r="M26" s="36" t="str">
        <f t="shared" si="0"/>
        <v/>
      </c>
      <c r="N26" s="29"/>
    </row>
    <row r="27" spans="1:14">
      <c r="A27" s="29"/>
      <c r="B27" s="29"/>
      <c r="C27" s="29"/>
      <c r="D27" s="29"/>
      <c r="E27" s="31"/>
      <c r="F27" s="31"/>
      <c r="G27" s="33" t="str">
        <f>IF(D27="","",IFERROR(VLOOKUP(D27,'3_Datos_base'!$A$9:$H$28,8,FALSE),""))</f>
        <v/>
      </c>
      <c r="H27" s="33" t="str">
        <f t="shared" si="1"/>
        <v/>
      </c>
      <c r="I27" s="33" t="str">
        <f t="shared" si="2"/>
        <v/>
      </c>
      <c r="J27" s="30"/>
      <c r="K27" s="34" t="str">
        <f t="shared" si="3"/>
        <v/>
      </c>
      <c r="L27" s="35" t="str">
        <f t="shared" si="4"/>
        <v/>
      </c>
      <c r="M27" s="36" t="str">
        <f t="shared" si="0"/>
        <v/>
      </c>
      <c r="N27" s="29"/>
    </row>
    <row r="28" spans="1:14">
      <c r="A28" s="29"/>
      <c r="B28" s="29"/>
      <c r="C28" s="29"/>
      <c r="D28" s="29"/>
      <c r="E28" s="31"/>
      <c r="F28" s="31"/>
      <c r="G28" s="33" t="str">
        <f>IF(D28="","",IFERROR(VLOOKUP(D28,'3_Datos_base'!$A$9:$H$28,8,FALSE),""))</f>
        <v/>
      </c>
      <c r="H28" s="33" t="str">
        <f t="shared" si="1"/>
        <v/>
      </c>
      <c r="I28" s="33" t="str">
        <f t="shared" si="2"/>
        <v/>
      </c>
      <c r="J28" s="30"/>
      <c r="K28" s="34" t="str">
        <f t="shared" si="3"/>
        <v/>
      </c>
      <c r="L28" s="35" t="str">
        <f t="shared" si="4"/>
        <v/>
      </c>
      <c r="M28" s="36" t="str">
        <f t="shared" si="0"/>
        <v/>
      </c>
      <c r="N28" s="29"/>
    </row>
    <row r="29" spans="1:14" ht="14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sheetProtection algorithmName="SHA-512" hashValue="Fglx8ElJdozhAYfRb9g3LmR+5Yr0m1dW5BTHKQRUqs+e2snpskQIBr1UG+Y3p8VBWjTaZGyLLh09DZgiPjA9Tw==" saltValue="H+Dl3cL3v3X6eLJVVy24xQ==" spinCount="100000" sheet="1" objects="1" scenarios="1" formatCells="0" formatColumns="0" formatRows="0" insertColumns="0" sort="0" autoFilter="0" pivotTables="0"/>
  <mergeCells count="3">
    <mergeCell ref="A1:N1"/>
    <mergeCell ref="A2:N2"/>
    <mergeCell ref="A4:N5"/>
  </mergeCells>
  <conditionalFormatting sqref="M9:M28">
    <cfRule type="expression" dxfId="66" priority="1">
      <formula>$M9="Revisar"</formula>
    </cfRule>
    <cfRule type="expression" dxfId="65" priority="2">
      <formula>$M9="Cuidar"</formula>
    </cfRule>
    <cfRule type="expression" dxfId="64" priority="3">
      <formula>$M9="OK"</formula>
    </cfRule>
  </conditionalFormatting>
  <dataValidations count="1">
    <dataValidation type="list" sqref="C9:C28" xr:uid="{00000000-0002-0000-0300-000000000000}">
      <formula1>"Directa,Indirecta"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1000000}">
          <x14:formula1>
            <xm:f>'3_Datos_base'!$A$9:$A$28</xm:f>
          </x14:formula1>
          <xm:sqref>D9:D28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topLeftCell="G1" workbookViewId="0">
      <selection activeCell="I18" sqref="I15:Q18"/>
    </sheetView>
  </sheetViews>
  <sheetFormatPr baseColWidth="10" defaultColWidth="8.796875" defaultRowHeight="13.8"/>
  <cols>
    <col min="1" max="1" width="12" customWidth="1"/>
    <col min="2" max="2" width="28" customWidth="1"/>
    <col min="3" max="3" width="24" customWidth="1"/>
    <col min="4" max="4" width="16" customWidth="1"/>
    <col min="5" max="5" width="18" customWidth="1"/>
    <col min="6" max="6" width="14" customWidth="1"/>
    <col min="7" max="8" width="16" customWidth="1"/>
    <col min="9" max="9" width="18" customWidth="1"/>
    <col min="10" max="12" width="16" customWidth="1"/>
    <col min="13" max="13" width="18" customWidth="1"/>
    <col min="14" max="14" width="38" customWidth="1"/>
    <col min="15" max="15" width="42" customWidth="1"/>
    <col min="16" max="16" width="14" customWidth="1"/>
  </cols>
  <sheetData>
    <row r="1" spans="1:16" ht="24" customHeight="1">
      <c r="A1" s="24" t="s">
        <v>186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7"/>
      <c r="P1" s="37"/>
    </row>
    <row r="2" spans="1:16" ht="24" customHeight="1">
      <c r="A2" s="25" t="s">
        <v>187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8"/>
      <c r="P2" s="38"/>
    </row>
    <row r="3" spans="1:16" ht="14.4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39"/>
      <c r="P3" s="39"/>
    </row>
    <row r="4" spans="1:16">
      <c r="A4" s="27" t="s">
        <v>188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0"/>
      <c r="P4" s="40"/>
    </row>
    <row r="5" spans="1:1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40"/>
      <c r="P5" s="40"/>
    </row>
    <row r="6" spans="1:16" ht="14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9"/>
      <c r="P6" s="39"/>
    </row>
    <row r="7" spans="1:16" ht="14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39"/>
      <c r="P7" s="39"/>
    </row>
    <row r="8" spans="1:16" ht="28.8" customHeight="1">
      <c r="A8" s="28" t="s">
        <v>189</v>
      </c>
      <c r="B8" s="28" t="s">
        <v>190</v>
      </c>
      <c r="C8" s="28" t="s">
        <v>191</v>
      </c>
      <c r="D8" s="28" t="s">
        <v>192</v>
      </c>
      <c r="E8" s="28" t="s">
        <v>193</v>
      </c>
      <c r="F8" s="28" t="s">
        <v>194</v>
      </c>
      <c r="G8" s="28" t="s">
        <v>195</v>
      </c>
      <c r="H8" s="28" t="s">
        <v>196</v>
      </c>
      <c r="I8" s="28" t="s">
        <v>98</v>
      </c>
      <c r="J8" s="28" t="s">
        <v>197</v>
      </c>
      <c r="K8" s="28" t="s">
        <v>102</v>
      </c>
      <c r="L8" s="28" t="s">
        <v>198</v>
      </c>
      <c r="M8" s="28" t="s">
        <v>199</v>
      </c>
      <c r="N8" s="28" t="s">
        <v>130</v>
      </c>
      <c r="O8" s="41" t="s">
        <v>134</v>
      </c>
      <c r="P8" s="41" t="s">
        <v>146</v>
      </c>
    </row>
    <row r="9" spans="1:16" ht="27.6">
      <c r="A9" s="29" t="s">
        <v>200</v>
      </c>
      <c r="B9" s="29" t="s">
        <v>176</v>
      </c>
      <c r="C9" s="29" t="s">
        <v>148</v>
      </c>
      <c r="D9" s="31">
        <v>500</v>
      </c>
      <c r="E9" s="31">
        <v>50</v>
      </c>
      <c r="F9" s="31">
        <v>56</v>
      </c>
      <c r="G9" s="32">
        <f>IF(A9="","",F9-E9)</f>
        <v>6</v>
      </c>
      <c r="H9" s="33">
        <f>IF(C9="","",IFERROR(VLOOKUP(C9,'3_Datos_base'!$A$9:$H$28,8,FALSE),""))</f>
        <v>6.125</v>
      </c>
      <c r="I9" s="33">
        <f t="shared" ref="I9:I28" si="0">IF(A9="","",E9*H9)</f>
        <v>306.25</v>
      </c>
      <c r="J9" s="30">
        <f t="shared" ref="J9:J28" si="1">IF(A9="","",H9)</f>
        <v>6.125</v>
      </c>
      <c r="K9" s="34">
        <f t="shared" ref="K9:K28" si="2">IF(A9="","",F9*J9)</f>
        <v>343</v>
      </c>
      <c r="L9" s="34">
        <f t="shared" ref="L9:L28" si="3">IF(A9="","",K9-I9)</f>
        <v>36.75</v>
      </c>
      <c r="M9" s="35">
        <f t="shared" ref="M9:M28" si="4">IFERROR(IF(A9="","",L9/I9),"")</f>
        <v>0.12</v>
      </c>
      <c r="N9" s="29" t="s">
        <v>201</v>
      </c>
      <c r="O9" s="42" t="s">
        <v>202</v>
      </c>
      <c r="P9" s="43" t="str">
        <f t="shared" ref="P9:P28" si="5">IF(A9="","",IF(M9&gt;0.1,"Revisar",IF(M9&lt;-0.05,"Ahorro","OK")))</f>
        <v>Revisar</v>
      </c>
    </row>
    <row r="10" spans="1:16" ht="27.6">
      <c r="A10" s="29" t="s">
        <v>200</v>
      </c>
      <c r="B10" s="29" t="s">
        <v>178</v>
      </c>
      <c r="C10" s="29" t="s">
        <v>148</v>
      </c>
      <c r="D10" s="31">
        <v>80</v>
      </c>
      <c r="E10" s="31">
        <v>48</v>
      </c>
      <c r="F10" s="31">
        <v>44</v>
      </c>
      <c r="G10" s="32">
        <f t="shared" ref="G10:G28" si="6">IF(A10="","",F10-E10)</f>
        <v>-4</v>
      </c>
      <c r="H10" s="33">
        <f>IF(C10="","",IFERROR(VLOOKUP(C10,'3_Datos_base'!$A$9:$H$28,8,FALSE),""))</f>
        <v>6.125</v>
      </c>
      <c r="I10" s="33">
        <f>IF(A10="","",E10*H10)</f>
        <v>294</v>
      </c>
      <c r="J10" s="30">
        <f t="shared" si="1"/>
        <v>6.125</v>
      </c>
      <c r="K10" s="34">
        <f t="shared" si="2"/>
        <v>269.5</v>
      </c>
      <c r="L10" s="34">
        <f t="shared" si="3"/>
        <v>-24.5</v>
      </c>
      <c r="M10" s="35">
        <f t="shared" si="4"/>
        <v>-8.3333333333333329E-2</v>
      </c>
      <c r="N10" s="29" t="s">
        <v>203</v>
      </c>
      <c r="O10" s="42" t="s">
        <v>204</v>
      </c>
      <c r="P10" s="43" t="str">
        <f t="shared" si="5"/>
        <v>Ahorro</v>
      </c>
    </row>
    <row r="11" spans="1:16">
      <c r="A11" s="29" t="s">
        <v>200</v>
      </c>
      <c r="B11" s="29" t="s">
        <v>180</v>
      </c>
      <c r="C11" s="29" t="s">
        <v>155</v>
      </c>
      <c r="D11" s="31">
        <v>300</v>
      </c>
      <c r="E11" s="31">
        <v>45</v>
      </c>
      <c r="F11" s="31">
        <v>54</v>
      </c>
      <c r="G11" s="32">
        <f t="shared" si="6"/>
        <v>9</v>
      </c>
      <c r="H11" s="33">
        <f>IF(C11="","",IFERROR(VLOOKUP(C11,'3_Datos_base'!$A$9:$H$28,8,FALSE),""))</f>
        <v>4.0123456790123457</v>
      </c>
      <c r="I11" s="33">
        <f t="shared" si="0"/>
        <v>180.55555555555557</v>
      </c>
      <c r="J11" s="30">
        <f t="shared" si="1"/>
        <v>4.0123456790123457</v>
      </c>
      <c r="K11" s="34">
        <f t="shared" si="2"/>
        <v>216.66666666666666</v>
      </c>
      <c r="L11" s="34">
        <f t="shared" si="3"/>
        <v>36.111111111111086</v>
      </c>
      <c r="M11" s="35">
        <f t="shared" si="4"/>
        <v>0.19999999999999984</v>
      </c>
      <c r="N11" s="29" t="s">
        <v>205</v>
      </c>
      <c r="O11" s="42" t="s">
        <v>206</v>
      </c>
      <c r="P11" s="43" t="str">
        <f t="shared" si="5"/>
        <v>Revisar</v>
      </c>
    </row>
    <row r="12" spans="1:16">
      <c r="A12" s="29" t="s">
        <v>200</v>
      </c>
      <c r="B12" s="29" t="s">
        <v>182</v>
      </c>
      <c r="C12" s="29" t="s">
        <v>153</v>
      </c>
      <c r="D12" s="31">
        <v>120</v>
      </c>
      <c r="E12" s="31">
        <v>42</v>
      </c>
      <c r="F12" s="31">
        <v>40</v>
      </c>
      <c r="G12" s="32">
        <f t="shared" si="6"/>
        <v>-2</v>
      </c>
      <c r="H12" s="33">
        <f>IF(C12="","",IFERROR(VLOOKUP(C12,'3_Datos_base'!$A$9:$H$28,8,FALSE),""))</f>
        <v>4.5</v>
      </c>
      <c r="I12" s="33">
        <f t="shared" si="0"/>
        <v>189</v>
      </c>
      <c r="J12" s="30">
        <f t="shared" si="1"/>
        <v>4.5</v>
      </c>
      <c r="K12" s="34">
        <f t="shared" si="2"/>
        <v>180</v>
      </c>
      <c r="L12" s="34">
        <f t="shared" si="3"/>
        <v>-9</v>
      </c>
      <c r="M12" s="35">
        <f t="shared" si="4"/>
        <v>-4.7619047619047616E-2</v>
      </c>
      <c r="N12" s="29" t="s">
        <v>207</v>
      </c>
      <c r="O12" s="42" t="s">
        <v>208</v>
      </c>
      <c r="P12" s="43" t="str">
        <f t="shared" si="5"/>
        <v>OK</v>
      </c>
    </row>
    <row r="13" spans="1:16">
      <c r="A13" s="29" t="s">
        <v>200</v>
      </c>
      <c r="B13" s="29" t="s">
        <v>184</v>
      </c>
      <c r="C13" s="29" t="s">
        <v>162</v>
      </c>
      <c r="D13" s="31">
        <v>26</v>
      </c>
      <c r="E13" s="31">
        <v>39</v>
      </c>
      <c r="F13" s="31">
        <v>42</v>
      </c>
      <c r="G13" s="32">
        <f t="shared" si="6"/>
        <v>3</v>
      </c>
      <c r="H13" s="33">
        <f>IF(C13="","",IFERROR(VLOOKUP(C13,'3_Datos_base'!$A$9:$H$28,8,FALSE),""))</f>
        <v>3.7142857142857144</v>
      </c>
      <c r="I13" s="33">
        <f t="shared" si="0"/>
        <v>144.85714285714286</v>
      </c>
      <c r="J13" s="30">
        <f t="shared" si="1"/>
        <v>3.7142857142857144</v>
      </c>
      <c r="K13" s="34">
        <f t="shared" si="2"/>
        <v>156</v>
      </c>
      <c r="L13" s="34">
        <f t="shared" si="3"/>
        <v>11.142857142857139</v>
      </c>
      <c r="M13" s="35">
        <f t="shared" si="4"/>
        <v>7.69230769230769E-2</v>
      </c>
      <c r="N13" s="29" t="s">
        <v>209</v>
      </c>
      <c r="O13" s="42" t="s">
        <v>210</v>
      </c>
      <c r="P13" s="43" t="str">
        <f t="shared" si="5"/>
        <v>OK</v>
      </c>
    </row>
    <row r="14" spans="1:16">
      <c r="A14" s="29"/>
      <c r="B14" s="29"/>
      <c r="C14" s="29"/>
      <c r="D14" s="31"/>
      <c r="E14" s="31"/>
      <c r="F14" s="31"/>
      <c r="G14" s="32" t="str">
        <f t="shared" si="6"/>
        <v/>
      </c>
      <c r="H14" s="33" t="str">
        <f>IF(C14="","",IFERROR(VLOOKUP(C14,'3_Datos_base'!$A$9:$H$28,8,FALSE),""))</f>
        <v/>
      </c>
      <c r="I14" s="33" t="str">
        <f t="shared" si="0"/>
        <v/>
      </c>
      <c r="J14" s="30" t="str">
        <f t="shared" si="1"/>
        <v/>
      </c>
      <c r="K14" s="34" t="str">
        <f t="shared" si="2"/>
        <v/>
      </c>
      <c r="L14" s="34" t="str">
        <f t="shared" si="3"/>
        <v/>
      </c>
      <c r="M14" s="35" t="str">
        <f t="shared" si="4"/>
        <v/>
      </c>
      <c r="N14" s="29"/>
      <c r="O14" s="42"/>
      <c r="P14" s="43" t="str">
        <f t="shared" si="5"/>
        <v/>
      </c>
    </row>
    <row r="15" spans="1:16">
      <c r="A15" s="29"/>
      <c r="B15" s="29"/>
      <c r="C15" s="29"/>
      <c r="D15" s="31"/>
      <c r="E15" s="31"/>
      <c r="F15" s="31"/>
      <c r="G15" s="32" t="str">
        <f t="shared" si="6"/>
        <v/>
      </c>
      <c r="H15" s="33" t="str">
        <f>IF(C15="","",IFERROR(VLOOKUP(C15,'3_Datos_base'!$A$9:$H$28,8,FALSE),""))</f>
        <v/>
      </c>
      <c r="I15" s="33" t="str">
        <f t="shared" si="0"/>
        <v/>
      </c>
      <c r="J15" s="30" t="str">
        <f t="shared" si="1"/>
        <v/>
      </c>
      <c r="K15" s="34" t="str">
        <f t="shared" si="2"/>
        <v/>
      </c>
      <c r="L15" s="34" t="str">
        <f t="shared" si="3"/>
        <v/>
      </c>
      <c r="M15" s="35" t="str">
        <f t="shared" si="4"/>
        <v/>
      </c>
      <c r="N15" s="29"/>
      <c r="O15" s="42"/>
      <c r="P15" s="43" t="str">
        <f t="shared" si="5"/>
        <v/>
      </c>
    </row>
    <row r="16" spans="1:16">
      <c r="A16" s="29"/>
      <c r="B16" s="29"/>
      <c r="C16" s="29"/>
      <c r="D16" s="31"/>
      <c r="E16" s="31"/>
      <c r="F16" s="31"/>
      <c r="G16" s="32" t="str">
        <f t="shared" si="6"/>
        <v/>
      </c>
      <c r="H16" s="33" t="str">
        <f>IF(C16="","",IFERROR(VLOOKUP(C16,'3_Datos_base'!$A$9:$H$28,8,FALSE),""))</f>
        <v/>
      </c>
      <c r="I16" s="33" t="str">
        <f t="shared" si="0"/>
        <v/>
      </c>
      <c r="J16" s="30" t="str">
        <f t="shared" si="1"/>
        <v/>
      </c>
      <c r="K16" s="34" t="str">
        <f t="shared" si="2"/>
        <v/>
      </c>
      <c r="L16" s="34" t="str">
        <f t="shared" si="3"/>
        <v/>
      </c>
      <c r="M16" s="35" t="str">
        <f t="shared" si="4"/>
        <v/>
      </c>
      <c r="N16" s="29"/>
      <c r="O16" s="42"/>
      <c r="P16" s="43" t="str">
        <f t="shared" si="5"/>
        <v/>
      </c>
    </row>
    <row r="17" spans="1:16">
      <c r="A17" s="29"/>
      <c r="B17" s="29"/>
      <c r="C17" s="29"/>
      <c r="D17" s="31"/>
      <c r="E17" s="31"/>
      <c r="F17" s="31"/>
      <c r="G17" s="32" t="str">
        <f t="shared" si="6"/>
        <v/>
      </c>
      <c r="H17" s="33" t="str">
        <f>IF(C17="","",IFERROR(VLOOKUP(C17,'3_Datos_base'!$A$9:$H$28,8,FALSE),""))</f>
        <v/>
      </c>
      <c r="I17" s="33" t="str">
        <f t="shared" si="0"/>
        <v/>
      </c>
      <c r="J17" s="30" t="str">
        <f t="shared" si="1"/>
        <v/>
      </c>
      <c r="K17" s="34" t="str">
        <f t="shared" si="2"/>
        <v/>
      </c>
      <c r="L17" s="34" t="str">
        <f t="shared" si="3"/>
        <v/>
      </c>
      <c r="M17" s="35" t="str">
        <f t="shared" si="4"/>
        <v/>
      </c>
      <c r="N17" s="29"/>
      <c r="O17" s="42"/>
      <c r="P17" s="43" t="str">
        <f t="shared" si="5"/>
        <v/>
      </c>
    </row>
    <row r="18" spans="1:16">
      <c r="A18" s="29"/>
      <c r="B18" s="29"/>
      <c r="C18" s="29"/>
      <c r="D18" s="31"/>
      <c r="E18" s="31"/>
      <c r="F18" s="31"/>
      <c r="G18" s="32" t="str">
        <f t="shared" si="6"/>
        <v/>
      </c>
      <c r="H18" s="33" t="str">
        <f>IF(C18="","",IFERROR(VLOOKUP(C18,'3_Datos_base'!$A$9:$H$28,8,FALSE),""))</f>
        <v/>
      </c>
      <c r="I18" s="33" t="str">
        <f t="shared" si="0"/>
        <v/>
      </c>
      <c r="J18" s="30" t="str">
        <f t="shared" si="1"/>
        <v/>
      </c>
      <c r="K18" s="34" t="str">
        <f t="shared" si="2"/>
        <v/>
      </c>
      <c r="L18" s="34" t="str">
        <f t="shared" si="3"/>
        <v/>
      </c>
      <c r="M18" s="35" t="str">
        <f t="shared" si="4"/>
        <v/>
      </c>
      <c r="N18" s="29"/>
      <c r="O18" s="42"/>
      <c r="P18" s="43" t="str">
        <f t="shared" si="5"/>
        <v/>
      </c>
    </row>
    <row r="19" spans="1:16">
      <c r="A19" s="29"/>
      <c r="B19" s="29"/>
      <c r="C19" s="29"/>
      <c r="D19" s="31"/>
      <c r="E19" s="31"/>
      <c r="F19" s="31"/>
      <c r="G19" s="32" t="str">
        <f t="shared" si="6"/>
        <v/>
      </c>
      <c r="H19" s="33" t="str">
        <f>IF(C19="","",IFERROR(VLOOKUP(C19,'3_Datos_base'!$A$9:$H$28,8,FALSE),""))</f>
        <v/>
      </c>
      <c r="I19" s="33" t="str">
        <f t="shared" si="0"/>
        <v/>
      </c>
      <c r="J19" s="30" t="str">
        <f t="shared" si="1"/>
        <v/>
      </c>
      <c r="K19" s="34" t="str">
        <f t="shared" si="2"/>
        <v/>
      </c>
      <c r="L19" s="34" t="str">
        <f t="shared" si="3"/>
        <v/>
      </c>
      <c r="M19" s="35" t="str">
        <f t="shared" si="4"/>
        <v/>
      </c>
      <c r="N19" s="29"/>
      <c r="O19" s="42"/>
      <c r="P19" s="43" t="str">
        <f t="shared" si="5"/>
        <v/>
      </c>
    </row>
    <row r="20" spans="1:16">
      <c r="A20" s="29"/>
      <c r="B20" s="29"/>
      <c r="C20" s="29"/>
      <c r="D20" s="31"/>
      <c r="E20" s="31"/>
      <c r="F20" s="31"/>
      <c r="G20" s="32" t="str">
        <f t="shared" si="6"/>
        <v/>
      </c>
      <c r="H20" s="33" t="str">
        <f>IF(C20="","",IFERROR(VLOOKUP(C20,'3_Datos_base'!$A$9:$H$28,8,FALSE),""))</f>
        <v/>
      </c>
      <c r="I20" s="33" t="str">
        <f t="shared" si="0"/>
        <v/>
      </c>
      <c r="J20" s="30" t="str">
        <f t="shared" si="1"/>
        <v/>
      </c>
      <c r="K20" s="34" t="str">
        <f t="shared" si="2"/>
        <v/>
      </c>
      <c r="L20" s="34" t="str">
        <f t="shared" si="3"/>
        <v/>
      </c>
      <c r="M20" s="35" t="str">
        <f t="shared" si="4"/>
        <v/>
      </c>
      <c r="N20" s="29"/>
      <c r="O20" s="42"/>
      <c r="P20" s="43" t="str">
        <f t="shared" si="5"/>
        <v/>
      </c>
    </row>
    <row r="21" spans="1:16">
      <c r="A21" s="29"/>
      <c r="B21" s="29"/>
      <c r="C21" s="29"/>
      <c r="D21" s="31"/>
      <c r="E21" s="31"/>
      <c r="F21" s="31"/>
      <c r="G21" s="32" t="str">
        <f t="shared" si="6"/>
        <v/>
      </c>
      <c r="H21" s="33" t="str">
        <f>IF(C21="","",IFERROR(VLOOKUP(C21,'3_Datos_base'!$A$9:$H$28,8,FALSE),""))</f>
        <v/>
      </c>
      <c r="I21" s="33" t="str">
        <f t="shared" si="0"/>
        <v/>
      </c>
      <c r="J21" s="30" t="str">
        <f t="shared" si="1"/>
        <v/>
      </c>
      <c r="K21" s="34" t="str">
        <f t="shared" si="2"/>
        <v/>
      </c>
      <c r="L21" s="34" t="str">
        <f t="shared" si="3"/>
        <v/>
      </c>
      <c r="M21" s="35" t="str">
        <f t="shared" si="4"/>
        <v/>
      </c>
      <c r="N21" s="29"/>
      <c r="O21" s="42"/>
      <c r="P21" s="43" t="str">
        <f t="shared" si="5"/>
        <v/>
      </c>
    </row>
    <row r="22" spans="1:16">
      <c r="A22" s="29"/>
      <c r="B22" s="29"/>
      <c r="C22" s="29"/>
      <c r="D22" s="31"/>
      <c r="E22" s="31"/>
      <c r="F22" s="31"/>
      <c r="G22" s="32" t="str">
        <f t="shared" si="6"/>
        <v/>
      </c>
      <c r="H22" s="33" t="str">
        <f>IF(C22="","",IFERROR(VLOOKUP(C22,'3_Datos_base'!$A$9:$H$28,8,FALSE),""))</f>
        <v/>
      </c>
      <c r="I22" s="33" t="str">
        <f t="shared" si="0"/>
        <v/>
      </c>
      <c r="J22" s="30" t="str">
        <f t="shared" si="1"/>
        <v/>
      </c>
      <c r="K22" s="34" t="str">
        <f t="shared" si="2"/>
        <v/>
      </c>
      <c r="L22" s="34" t="str">
        <f t="shared" si="3"/>
        <v/>
      </c>
      <c r="M22" s="35" t="str">
        <f t="shared" si="4"/>
        <v/>
      </c>
      <c r="N22" s="29"/>
      <c r="O22" s="42"/>
      <c r="P22" s="43" t="str">
        <f t="shared" si="5"/>
        <v/>
      </c>
    </row>
    <row r="23" spans="1:16">
      <c r="A23" s="29"/>
      <c r="B23" s="29"/>
      <c r="C23" s="29"/>
      <c r="D23" s="31"/>
      <c r="E23" s="31"/>
      <c r="F23" s="31"/>
      <c r="G23" s="32" t="str">
        <f t="shared" si="6"/>
        <v/>
      </c>
      <c r="H23" s="33" t="str">
        <f>IF(C23="","",IFERROR(VLOOKUP(C23,'3_Datos_base'!$A$9:$H$28,8,FALSE),""))</f>
        <v/>
      </c>
      <c r="I23" s="33" t="str">
        <f t="shared" si="0"/>
        <v/>
      </c>
      <c r="J23" s="30" t="str">
        <f t="shared" si="1"/>
        <v/>
      </c>
      <c r="K23" s="34" t="str">
        <f t="shared" si="2"/>
        <v/>
      </c>
      <c r="L23" s="34" t="str">
        <f t="shared" si="3"/>
        <v/>
      </c>
      <c r="M23" s="35" t="str">
        <f t="shared" si="4"/>
        <v/>
      </c>
      <c r="N23" s="29"/>
      <c r="O23" s="42"/>
      <c r="P23" s="43" t="str">
        <f t="shared" si="5"/>
        <v/>
      </c>
    </row>
    <row r="24" spans="1:16">
      <c r="A24" s="29"/>
      <c r="B24" s="29"/>
      <c r="C24" s="29"/>
      <c r="D24" s="31"/>
      <c r="E24" s="31"/>
      <c r="F24" s="31"/>
      <c r="G24" s="32" t="str">
        <f t="shared" si="6"/>
        <v/>
      </c>
      <c r="H24" s="33" t="str">
        <f>IF(C24="","",IFERROR(VLOOKUP(C24,'3_Datos_base'!$A$9:$H$28,8,FALSE),""))</f>
        <v/>
      </c>
      <c r="I24" s="33" t="str">
        <f t="shared" si="0"/>
        <v/>
      </c>
      <c r="J24" s="30" t="str">
        <f t="shared" si="1"/>
        <v/>
      </c>
      <c r="K24" s="34" t="str">
        <f t="shared" si="2"/>
        <v/>
      </c>
      <c r="L24" s="34" t="str">
        <f t="shared" si="3"/>
        <v/>
      </c>
      <c r="M24" s="35" t="str">
        <f t="shared" si="4"/>
        <v/>
      </c>
      <c r="N24" s="29"/>
      <c r="O24" s="42"/>
      <c r="P24" s="43" t="str">
        <f t="shared" si="5"/>
        <v/>
      </c>
    </row>
    <row r="25" spans="1:16">
      <c r="A25" s="29"/>
      <c r="B25" s="29"/>
      <c r="C25" s="29"/>
      <c r="D25" s="31"/>
      <c r="E25" s="31"/>
      <c r="F25" s="31"/>
      <c r="G25" s="32" t="str">
        <f t="shared" si="6"/>
        <v/>
      </c>
      <c r="H25" s="33" t="str">
        <f>IF(C25="","",IFERROR(VLOOKUP(C25,'3_Datos_base'!$A$9:$H$28,8,FALSE),""))</f>
        <v/>
      </c>
      <c r="I25" s="33" t="str">
        <f t="shared" si="0"/>
        <v/>
      </c>
      <c r="J25" s="30" t="str">
        <f t="shared" si="1"/>
        <v/>
      </c>
      <c r="K25" s="34" t="str">
        <f t="shared" si="2"/>
        <v/>
      </c>
      <c r="L25" s="34" t="str">
        <f t="shared" si="3"/>
        <v/>
      </c>
      <c r="M25" s="35" t="str">
        <f t="shared" si="4"/>
        <v/>
      </c>
      <c r="N25" s="29"/>
      <c r="O25" s="42"/>
      <c r="P25" s="43" t="str">
        <f t="shared" si="5"/>
        <v/>
      </c>
    </row>
    <row r="26" spans="1:16">
      <c r="A26" s="29"/>
      <c r="B26" s="29"/>
      <c r="C26" s="29"/>
      <c r="D26" s="31"/>
      <c r="E26" s="31"/>
      <c r="F26" s="31"/>
      <c r="G26" s="32" t="str">
        <f t="shared" si="6"/>
        <v/>
      </c>
      <c r="H26" s="33" t="str">
        <f>IF(C26="","",IFERROR(VLOOKUP(C26,'3_Datos_base'!$A$9:$H$28,8,FALSE),""))</f>
        <v/>
      </c>
      <c r="I26" s="33" t="str">
        <f t="shared" si="0"/>
        <v/>
      </c>
      <c r="J26" s="30" t="str">
        <f t="shared" si="1"/>
        <v/>
      </c>
      <c r="K26" s="34" t="str">
        <f t="shared" si="2"/>
        <v/>
      </c>
      <c r="L26" s="34" t="str">
        <f t="shared" si="3"/>
        <v/>
      </c>
      <c r="M26" s="35" t="str">
        <f t="shared" si="4"/>
        <v/>
      </c>
      <c r="N26" s="29"/>
      <c r="O26" s="42"/>
      <c r="P26" s="43" t="str">
        <f t="shared" si="5"/>
        <v/>
      </c>
    </row>
    <row r="27" spans="1:16">
      <c r="A27" s="29"/>
      <c r="B27" s="29"/>
      <c r="C27" s="29"/>
      <c r="D27" s="31"/>
      <c r="E27" s="31"/>
      <c r="F27" s="31"/>
      <c r="G27" s="32" t="str">
        <f t="shared" si="6"/>
        <v/>
      </c>
      <c r="H27" s="33" t="str">
        <f>IF(C27="","",IFERROR(VLOOKUP(C27,'3_Datos_base'!$A$9:$H$28,8,FALSE),""))</f>
        <v/>
      </c>
      <c r="I27" s="33" t="str">
        <f t="shared" si="0"/>
        <v/>
      </c>
      <c r="J27" s="30" t="str">
        <f t="shared" si="1"/>
        <v/>
      </c>
      <c r="K27" s="34" t="str">
        <f t="shared" si="2"/>
        <v/>
      </c>
      <c r="L27" s="34" t="str">
        <f t="shared" si="3"/>
        <v/>
      </c>
      <c r="M27" s="35" t="str">
        <f t="shared" si="4"/>
        <v/>
      </c>
      <c r="N27" s="29"/>
      <c r="O27" s="42"/>
      <c r="P27" s="43" t="str">
        <f t="shared" si="5"/>
        <v/>
      </c>
    </row>
    <row r="28" spans="1:16">
      <c r="A28" s="29"/>
      <c r="B28" s="29"/>
      <c r="C28" s="29"/>
      <c r="D28" s="31"/>
      <c r="E28" s="31"/>
      <c r="F28" s="31"/>
      <c r="G28" s="32" t="str">
        <f t="shared" si="6"/>
        <v/>
      </c>
      <c r="H28" s="33" t="str">
        <f>IF(C28="","",IFERROR(VLOOKUP(C28,'3_Datos_base'!$A$9:$H$28,8,FALSE),""))</f>
        <v/>
      </c>
      <c r="I28" s="33" t="str">
        <f t="shared" si="0"/>
        <v/>
      </c>
      <c r="J28" s="30" t="str">
        <f t="shared" si="1"/>
        <v/>
      </c>
      <c r="K28" s="34" t="str">
        <f t="shared" si="2"/>
        <v/>
      </c>
      <c r="L28" s="34" t="str">
        <f t="shared" si="3"/>
        <v/>
      </c>
      <c r="M28" s="35" t="str">
        <f t="shared" si="4"/>
        <v/>
      </c>
      <c r="N28" s="29"/>
      <c r="O28" s="42"/>
      <c r="P28" s="43" t="str">
        <f t="shared" si="5"/>
        <v/>
      </c>
    </row>
    <row r="29" spans="1:16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6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6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sheetProtection algorithmName="SHA-512" hashValue="l3XChNFlls7gS7gzirV944P18iTUDzl3j8W8j/9s1sqzrcOH6FB/b82nlNhhd3Nu/uEYarzPw7a6KDvppnmGxA==" saltValue="3dQo53fZsYDqAwKWH80b3g==" spinCount="100000" sheet="1" objects="1" scenarios="1" formatCells="0" formatColumns="0" formatRows="0" insertColumns="0" sort="0" autoFilter="0" pivotTables="0"/>
  <mergeCells count="3">
    <mergeCell ref="A1:P1"/>
    <mergeCell ref="A2:P2"/>
    <mergeCell ref="A4:P5"/>
  </mergeCells>
  <conditionalFormatting sqref="L9:L28">
    <cfRule type="cellIs" dxfId="63" priority="4" operator="greaterThan">
      <formula>0</formula>
    </cfRule>
  </conditionalFormatting>
  <conditionalFormatting sqref="P9:P28">
    <cfRule type="expression" dxfId="62" priority="1">
      <formula>$P9="Revisar"</formula>
    </cfRule>
    <cfRule type="expression" dxfId="61" priority="2">
      <formula>$P9="Ahorro"</formula>
    </cfRule>
    <cfRule type="expression" dxfId="60" priority="3">
      <formula>$P9="OK"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0000000}">
          <x14:formula1>
            <xm:f>'3_Datos_base'!$A$9:$A$28</xm:f>
          </x14:formula1>
          <xm:sqref>C9:C28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"/>
  <sheetViews>
    <sheetView tabSelected="1" workbookViewId="0">
      <selection activeCell="D22" sqref="D22"/>
    </sheetView>
  </sheetViews>
  <sheetFormatPr baseColWidth="10" defaultColWidth="8.796875" defaultRowHeight="13.8"/>
  <cols>
    <col min="1" max="1" width="28" style="4" customWidth="1"/>
    <col min="2" max="2" width="18" style="4" customWidth="1"/>
    <col min="3" max="3" width="42" style="4" customWidth="1"/>
    <col min="4" max="4" width="18" style="4" customWidth="1"/>
    <col min="5" max="5" width="28" style="4" customWidth="1"/>
    <col min="6" max="6" width="18" style="4" customWidth="1"/>
    <col min="7" max="7" width="42" style="4" customWidth="1"/>
    <col min="8" max="8" width="3" style="4" customWidth="1"/>
    <col min="9" max="9" width="22" style="4" customWidth="1"/>
    <col min="10" max="14" width="18" style="4" customWidth="1"/>
    <col min="15" max="16384" width="8.796875" style="4"/>
  </cols>
  <sheetData>
    <row r="1" spans="1:14" ht="24" customHeight="1">
      <c r="A1" s="2" t="s">
        <v>211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>
      <c r="A2" s="5" t="s">
        <v>212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4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9" t="s">
        <v>213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4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4">
      <c r="A6" s="10" t="s">
        <v>214</v>
      </c>
      <c r="B6" s="10" t="s">
        <v>215</v>
      </c>
      <c r="C6" s="10" t="s">
        <v>216</v>
      </c>
      <c r="D6" s="6"/>
      <c r="E6" s="10" t="s">
        <v>214</v>
      </c>
      <c r="F6" s="10" t="s">
        <v>215</v>
      </c>
      <c r="G6" s="10" t="s">
        <v>216</v>
      </c>
      <c r="H6" s="6"/>
      <c r="I6" s="11" t="s">
        <v>217</v>
      </c>
      <c r="J6" s="11"/>
      <c r="K6" s="11"/>
      <c r="L6" s="11"/>
      <c r="M6" s="11"/>
      <c r="N6" s="11"/>
    </row>
    <row r="7" spans="1:14" ht="14.4">
      <c r="A7" s="13" t="s">
        <v>218</v>
      </c>
      <c r="B7" s="17">
        <f>SUM('3_Datos_base'!D9:D28)</f>
        <v>3770</v>
      </c>
      <c r="C7" s="13" t="s">
        <v>219</v>
      </c>
      <c r="D7" s="6"/>
      <c r="E7" s="13" t="s">
        <v>220</v>
      </c>
      <c r="F7" s="18">
        <f>IFERROR(B10/B11,"")</f>
        <v>0.1531130080237223</v>
      </c>
      <c r="G7" s="13" t="s">
        <v>221</v>
      </c>
      <c r="H7" s="6"/>
      <c r="I7" s="19" t="str">
        <f>IF(F11&gt;0,"Hay ítems a revisar. Prioriza las desviaciones con mayor costo y documenta acciones correctivas.",IF(F10&gt;0.1,"La desviación total supera el 10%. Revisa planificación, productividad o costo por hora.","La plantilla no muestra alertas críticas. Mantén el seguimiento mensual."))</f>
        <v>Hay ítems a revisar. Prioriza las desviaciones con mayor costo y documenta acciones correctivas.</v>
      </c>
      <c r="J7" s="19"/>
      <c r="K7" s="19"/>
      <c r="L7" s="19"/>
      <c r="M7" s="19"/>
      <c r="N7" s="19"/>
    </row>
    <row r="8" spans="1:14" ht="28.8" customHeight="1">
      <c r="A8" s="13" t="s">
        <v>222</v>
      </c>
      <c r="B8" s="20">
        <f>SUM('3_Datos_base'!G9:G28)</f>
        <v>777</v>
      </c>
      <c r="C8" s="13" t="s">
        <v>223</v>
      </c>
      <c r="D8" s="6"/>
      <c r="E8" s="13" t="s">
        <v>224</v>
      </c>
      <c r="F8" s="17">
        <f>SUM('5_Control'!K9:K28)</f>
        <v>1165.1666666666665</v>
      </c>
      <c r="G8" s="13" t="s">
        <v>225</v>
      </c>
      <c r="H8" s="6"/>
      <c r="I8" s="19"/>
      <c r="J8" s="19"/>
      <c r="K8" s="19"/>
      <c r="L8" s="19"/>
      <c r="M8" s="19"/>
      <c r="N8" s="19"/>
    </row>
    <row r="9" spans="1:14" ht="14.4">
      <c r="A9" s="13" t="s">
        <v>226</v>
      </c>
      <c r="B9" s="17">
        <f>IFERROR(B7/B8,"")</f>
        <v>4.8519948519948519</v>
      </c>
      <c r="C9" s="13" t="s">
        <v>227</v>
      </c>
      <c r="D9" s="6"/>
      <c r="E9" s="13" t="s">
        <v>228</v>
      </c>
      <c r="F9" s="17">
        <f>SUM('5_Control'!L9:L28)</f>
        <v>50.503968253968225</v>
      </c>
      <c r="G9" s="13" t="s">
        <v>229</v>
      </c>
      <c r="H9" s="6"/>
      <c r="I9" s="19"/>
      <c r="J9" s="19"/>
      <c r="K9" s="19"/>
      <c r="L9" s="19"/>
      <c r="M9" s="19"/>
      <c r="N9" s="19"/>
    </row>
    <row r="10" spans="1:14" ht="14.4">
      <c r="A10" s="13" t="s">
        <v>230</v>
      </c>
      <c r="B10" s="17">
        <f>SUM('4_Costeo'!I9:I28)</f>
        <v>1114.6626984126983</v>
      </c>
      <c r="C10" s="13" t="s">
        <v>231</v>
      </c>
      <c r="D10" s="6"/>
      <c r="E10" s="13" t="s">
        <v>232</v>
      </c>
      <c r="F10" s="18">
        <f>IFERROR(F9/SUM('5_Control'!I9:I28),"")</f>
        <v>4.5308745260684576E-2</v>
      </c>
      <c r="G10" s="13" t="s">
        <v>233</v>
      </c>
      <c r="H10" s="6"/>
      <c r="I10" s="19"/>
      <c r="J10" s="19"/>
      <c r="K10" s="19"/>
      <c r="L10" s="19"/>
      <c r="M10" s="19"/>
      <c r="N10" s="19"/>
    </row>
    <row r="11" spans="1:14" ht="14.4">
      <c r="A11" s="13" t="s">
        <v>174</v>
      </c>
      <c r="B11" s="17">
        <f>SUM('4_Costeo'!K9:K28)</f>
        <v>7280</v>
      </c>
      <c r="C11" s="13" t="s">
        <v>234</v>
      </c>
      <c r="D11" s="6"/>
      <c r="E11" s="13" t="s">
        <v>235</v>
      </c>
      <c r="F11" s="21">
        <f>COUNTIF('5_Control'!P9:P28,"Revisar")</f>
        <v>2</v>
      </c>
      <c r="G11" s="13" t="s">
        <v>236</v>
      </c>
      <c r="H11" s="6"/>
      <c r="I11" s="19"/>
      <c r="J11" s="19"/>
      <c r="K11" s="19"/>
      <c r="L11" s="19"/>
      <c r="M11" s="19"/>
      <c r="N11" s="19"/>
    </row>
    <row r="12" spans="1:14" ht="14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>
      <c r="A14" s="9" t="s">
        <v>237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4">
      <c r="A16" s="10" t="s">
        <v>190</v>
      </c>
      <c r="B16" s="10" t="s">
        <v>98</v>
      </c>
      <c r="C16" s="10" t="s">
        <v>102</v>
      </c>
      <c r="D16" s="10" t="s">
        <v>238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4">
      <c r="A17" s="13" t="str">
        <f>IF('5_Control'!B9="","",'5_Control'!B9)</f>
        <v>Pan artesanal familiar</v>
      </c>
      <c r="B17" s="17">
        <f>IF(A17="","",'5_Control'!I9)</f>
        <v>306.25</v>
      </c>
      <c r="C17" s="17">
        <f>IF(A17="","",'5_Control'!K9)</f>
        <v>343</v>
      </c>
      <c r="D17" s="17">
        <f>IF(A17="","",'5_Control'!L9)</f>
        <v>36.75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4">
      <c r="A18" s="13" t="str">
        <f>IF('5_Control'!B10="","",'5_Control'!B10)</f>
        <v>Torta personalizada</v>
      </c>
      <c r="B18" s="17">
        <f>IF(A18="","",'5_Control'!I10)</f>
        <v>294</v>
      </c>
      <c r="C18" s="17">
        <f>IF(A18="","",'5_Control'!K10)</f>
        <v>269.5</v>
      </c>
      <c r="D18" s="17">
        <f>IF(A18="","",'5_Control'!L10)</f>
        <v>-24.5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4">
      <c r="A19" s="13" t="str">
        <f>IF('5_Control'!B11="","",'5_Control'!B11)</f>
        <v>Pedidos ecommerce</v>
      </c>
      <c r="B19" s="17">
        <f>IF(A19="","",'5_Control'!I11)</f>
        <v>180.55555555555557</v>
      </c>
      <c r="C19" s="17">
        <f>IF(A19="","",'5_Control'!K11)</f>
        <v>216.66666666666666</v>
      </c>
      <c r="D19" s="17">
        <f>IF(A19="","",'5_Control'!L11)</f>
        <v>36.111111111111086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4">
      <c r="A20" s="13" t="str">
        <f>IF('5_Control'!B12="","",'5_Control'!B12)</f>
        <v>Pack desayuno empresarial</v>
      </c>
      <c r="B20" s="17">
        <f>IF(A20="","",'5_Control'!I12)</f>
        <v>189</v>
      </c>
      <c r="C20" s="17">
        <f>IF(A20="","",'5_Control'!K12)</f>
        <v>180</v>
      </c>
      <c r="D20" s="17">
        <f>IF(A20="","",'5_Control'!L12)</f>
        <v>-9</v>
      </c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4">
      <c r="A21" s="13" t="str">
        <f>IF('5_Control'!B13="","",'5_Control'!B13)</f>
        <v>Limpieza cierre diario</v>
      </c>
      <c r="B21" s="17">
        <f>IF(A21="","",'5_Control'!I13)</f>
        <v>144.85714285714286</v>
      </c>
      <c r="C21" s="17">
        <f>IF(A21="","",'5_Control'!K13)</f>
        <v>156</v>
      </c>
      <c r="D21" s="17">
        <f>IF(A21="","",'5_Control'!L13)</f>
        <v>11.142857142857139</v>
      </c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>
      <c r="A24" s="9" t="s">
        <v>239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4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4.4">
      <c r="A26" s="10" t="s">
        <v>190</v>
      </c>
      <c r="B26" s="10" t="s">
        <v>198</v>
      </c>
      <c r="C26" s="10" t="s">
        <v>115</v>
      </c>
      <c r="D26" s="10" t="s">
        <v>130</v>
      </c>
      <c r="E26" s="10" t="s">
        <v>134</v>
      </c>
      <c r="F26" s="6"/>
      <c r="G26" s="6"/>
      <c r="H26" s="6"/>
      <c r="I26" s="6"/>
      <c r="J26" s="6"/>
      <c r="K26" s="6"/>
      <c r="L26" s="6"/>
      <c r="M26" s="6"/>
      <c r="N26" s="6"/>
    </row>
    <row r="27" spans="1:14" ht="27.6">
      <c r="A27" s="13" t="str">
        <f>IF('5_Control'!B9="","",'5_Control'!B9)</f>
        <v>Pan artesanal familiar</v>
      </c>
      <c r="B27" s="22">
        <f>IF(A27="","",'5_Control'!L9)</f>
        <v>36.75</v>
      </c>
      <c r="C27" s="23">
        <f>IF(A27="","",'5_Control'!M9)</f>
        <v>0.12</v>
      </c>
      <c r="D27" s="13" t="str">
        <f>IF(A27="","",'5_Control'!N9)</f>
        <v>Reproceso por mezcla fuera de estándar</v>
      </c>
      <c r="E27" s="13" t="str">
        <f>IF(A27="","",'5_Control'!O9)</f>
        <v>Estandarizar receta y revisar pesaje antes de hornear</v>
      </c>
      <c r="F27" s="6"/>
      <c r="G27" s="6"/>
      <c r="H27" s="6"/>
      <c r="I27" s="6"/>
      <c r="J27" s="6"/>
      <c r="K27" s="6"/>
      <c r="L27" s="6"/>
      <c r="M27" s="6"/>
      <c r="N27" s="6"/>
    </row>
    <row r="28" spans="1:14" ht="27.6">
      <c r="A28" s="13" t="str">
        <f>IF('5_Control'!B10="","",'5_Control'!B10)</f>
        <v>Torta personalizada</v>
      </c>
      <c r="B28" s="22">
        <f>IF(A28="","",'5_Control'!L10)</f>
        <v>-24.5</v>
      </c>
      <c r="C28" s="23">
        <f>IF(A28="","",'5_Control'!M10)</f>
        <v>-8.3333333333333329E-2</v>
      </c>
      <c r="D28" s="13" t="str">
        <f>IF(A28="","",'5_Control'!N10)</f>
        <v>Mejor preparación previa</v>
      </c>
      <c r="E28" s="13" t="str">
        <f>IF(A28="","",'5_Control'!O10)</f>
        <v>Documentar secuencia de decoración que redujo tiempo</v>
      </c>
      <c r="F28" s="6"/>
      <c r="G28" s="6"/>
      <c r="H28" s="6"/>
      <c r="I28" s="6"/>
      <c r="J28" s="6"/>
      <c r="K28" s="6"/>
      <c r="L28" s="6"/>
      <c r="M28" s="6"/>
      <c r="N28" s="6"/>
    </row>
    <row r="29" spans="1:14" ht="27.6">
      <c r="A29" s="13" t="str">
        <f>IF('5_Control'!B11="","",'5_Control'!B11)</f>
        <v>Pedidos ecommerce</v>
      </c>
      <c r="B29" s="22">
        <f>IF(A29="","",'5_Control'!L11)</f>
        <v>36.111111111111086</v>
      </c>
      <c r="C29" s="23">
        <f>IF(A29="","",'5_Control'!M11)</f>
        <v>0.19999999999999984</v>
      </c>
      <c r="D29" s="13" t="str">
        <f>IF(A29="","",'5_Control'!N11)</f>
        <v>Búsqueda manual de productos y empaques</v>
      </c>
      <c r="E29" s="13" t="str">
        <f>IF(A29="","",'5_Control'!O11)</f>
        <v>Crear zona fija de picking y checklist de empaque</v>
      </c>
      <c r="F29" s="6"/>
      <c r="G29" s="6"/>
      <c r="H29" s="6"/>
      <c r="I29" s="6"/>
      <c r="J29" s="6"/>
      <c r="K29" s="6"/>
      <c r="L29" s="6"/>
      <c r="M29" s="6"/>
      <c r="N29" s="6"/>
    </row>
    <row r="30" spans="1:14" ht="41.4">
      <c r="A30" s="13" t="str">
        <f>IF('5_Control'!B12="","",'5_Control'!B12)</f>
        <v>Pack desayuno empresarial</v>
      </c>
      <c r="B30" s="22">
        <f>IF(A30="","",'5_Control'!L12)</f>
        <v>-9</v>
      </c>
      <c r="C30" s="23">
        <f>IF(A30="","",'5_Control'!M12)</f>
        <v>-4.7619047619047616E-2</v>
      </c>
      <c r="D30" s="13" t="str">
        <f>IF(A30="","",'5_Control'!N12)</f>
        <v>Pedido repetitivo con mejor curva de aprendizaje</v>
      </c>
      <c r="E30" s="13" t="str">
        <f>IF(A30="","",'5_Control'!O12)</f>
        <v>Mantener guía de armado por lote</v>
      </c>
      <c r="F30" s="6"/>
      <c r="G30" s="6"/>
      <c r="H30" s="6"/>
      <c r="I30" s="6"/>
      <c r="J30" s="6"/>
      <c r="K30" s="6"/>
      <c r="L30" s="6"/>
      <c r="M30" s="6"/>
      <c r="N30" s="6"/>
    </row>
    <row r="31" spans="1:14" ht="41.4">
      <c r="A31" s="13" t="str">
        <f>IF('5_Control'!B13="","",'5_Control'!B13)</f>
        <v>Limpieza cierre diario</v>
      </c>
      <c r="B31" s="22">
        <f>IF(A31="","",'5_Control'!L13)</f>
        <v>11.142857142857139</v>
      </c>
      <c r="C31" s="23">
        <f>IF(A31="","",'5_Control'!M13)</f>
        <v>7.69230769230769E-2</v>
      </c>
      <c r="D31" s="13" t="str">
        <f>IF(A31="","",'5_Control'!N13)</f>
        <v>Cierre tardío por acumulación de bandejas</v>
      </c>
      <c r="E31" s="13" t="str">
        <f>IF(A31="","",'5_Control'!O13)</f>
        <v>Repartir limpieza en microtareas durante el turno</v>
      </c>
      <c r="F31" s="6"/>
      <c r="G31" s="6"/>
      <c r="H31" s="6"/>
      <c r="I31" s="6"/>
      <c r="J31" s="6"/>
      <c r="K31" s="6"/>
      <c r="L31" s="6"/>
      <c r="M31" s="6"/>
      <c r="N31" s="6"/>
    </row>
    <row r="32" spans="1:14" ht="14.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4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4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4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4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4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4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4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4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sheetProtection formatCells="0" formatColumns="0" formatRows="0" sort="0" autoFilter="0" pivotTables="0"/>
  <mergeCells count="7">
    <mergeCell ref="A14:N14"/>
    <mergeCell ref="A24:N24"/>
    <mergeCell ref="A1:N1"/>
    <mergeCell ref="A2:N2"/>
    <mergeCell ref="A4:N4"/>
    <mergeCell ref="I6:N6"/>
    <mergeCell ref="I7:N11"/>
  </mergeCells>
  <conditionalFormatting sqref="D17:D21">
    <cfRule type="cellIs" dxfId="59" priority="3" operator="greaterThan">
      <formula>0</formula>
    </cfRule>
  </conditionalFormatting>
  <conditionalFormatting sqref="F10">
    <cfRule type="cellIs" dxfId="58" priority="1" operator="greaterThan">
      <formula>0.1</formula>
    </cfRule>
  </conditionalFormatting>
  <conditionalFormatting sqref="F11">
    <cfRule type="cellIs" dxfId="57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1_Instrucciones</vt:lpstr>
      <vt:lpstr>2_Glosario</vt:lpstr>
      <vt:lpstr>3_Datos_base</vt:lpstr>
      <vt:lpstr>4_Costeo</vt:lpstr>
      <vt:lpstr>5_Control</vt:lpstr>
      <vt:lpstr>6_Resumen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2026-06-16T11:16:20Z</dcterms:modified>
</cp:coreProperties>
</file>